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hex\Documents\Xiaoming\OVCRI\funding_opportunities\monthly_reports\2024\2024_04\"/>
    </mc:Choice>
  </mc:AlternateContent>
  <xr:revisionPtr revIDLastSave="0" documentId="13_ncr:1_{DA0FAC62-BBEB-43D6-B862-C06C08E3D069}" xr6:coauthVersionLast="47" xr6:coauthVersionMax="47" xr10:uidLastSave="{00000000-0000-0000-0000-000000000000}"/>
  <bookViews>
    <workbookView xWindow="-110" yWindow="-110" windowWidth="19420" windowHeight="10300" tabRatio="500" xr2:uid="{00000000-000D-0000-FFFF-FFFF00000000}"/>
  </bookViews>
  <sheets>
    <sheet name="&lt;$50K" sheetId="6" r:id="rId1"/>
    <sheet name="$50K-250K" sheetId="1" r:id="rId2"/>
    <sheet name="$250K-500K" sheetId="2" r:id="rId3"/>
    <sheet name="$500K+" sheetId="3" r:id="rId4"/>
    <sheet name="No Ceiling" sheetId="4" r:id="rId5"/>
  </sheets>
  <definedNames>
    <definedName name="_xlnm._FilterDatabase" localSheetId="2" hidden="1">'$250K-500K'!$A$5:$J$7</definedName>
    <definedName name="_xlnm._FilterDatabase" localSheetId="1" hidden="1">'$50K-250K'!$A$5:$DY$5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4" l="1"/>
  <c r="A109" i="4"/>
  <c r="A76" i="4"/>
  <c r="A72" i="4"/>
  <c r="A71" i="4"/>
  <c r="A62" i="4"/>
  <c r="A60" i="4"/>
  <c r="A59" i="4"/>
  <c r="A52" i="4"/>
  <c r="A51" i="4"/>
  <c r="A50" i="4"/>
  <c r="A42" i="4"/>
  <c r="A41" i="4"/>
  <c r="A28" i="4"/>
  <c r="A25" i="4"/>
  <c r="A14" i="4"/>
  <c r="A7" i="4"/>
  <c r="A6" i="4"/>
  <c r="A5" i="4"/>
  <c r="A57" i="3"/>
  <c r="A55" i="3"/>
  <c r="A54" i="3"/>
  <c r="A53" i="3"/>
  <c r="A46" i="3"/>
  <c r="A44" i="3"/>
  <c r="A43" i="3"/>
  <c r="A42" i="3"/>
  <c r="A41" i="3"/>
  <c r="A38" i="3"/>
  <c r="A34" i="3"/>
  <c r="A33" i="3"/>
  <c r="A32" i="3"/>
  <c r="A26" i="3"/>
  <c r="A23" i="3"/>
  <c r="A22" i="3"/>
  <c r="A8" i="3"/>
  <c r="A7" i="3"/>
  <c r="A4" i="3"/>
  <c r="A11" i="2"/>
  <c r="A4" i="1"/>
  <c r="A74" i="4"/>
  <c r="A80" i="4"/>
  <c r="A79" i="4"/>
  <c r="A69" i="4"/>
  <c r="A57" i="4"/>
  <c r="A58" i="4"/>
  <c r="A61" i="4"/>
  <c r="A45" i="4"/>
  <c r="A35" i="4"/>
  <c r="A31" i="4"/>
  <c r="A8" i="4"/>
  <c r="A10" i="4"/>
  <c r="A70" i="3"/>
  <c r="A60" i="3"/>
  <c r="A59" i="3"/>
  <c r="A58" i="3"/>
  <c r="A56" i="3"/>
  <c r="A52" i="3"/>
  <c r="A51" i="3"/>
  <c r="A50" i="3"/>
  <c r="A49" i="3"/>
  <c r="A48" i="3"/>
  <c r="A40" i="3"/>
  <c r="A39" i="3"/>
  <c r="A28" i="3"/>
  <c r="A21" i="3"/>
  <c r="A17" i="3"/>
  <c r="A16" i="3"/>
  <c r="A14" i="3"/>
  <c r="A12" i="3"/>
  <c r="A6" i="3"/>
  <c r="A5" i="3"/>
  <c r="A6" i="2"/>
  <c r="A4" i="2"/>
  <c r="A8" i="1"/>
  <c r="A68" i="4"/>
  <c r="A67" i="4"/>
  <c r="A65" i="4"/>
  <c r="A46" i="4"/>
  <c r="A69" i="3"/>
  <c r="A68" i="3"/>
  <c r="A67" i="3"/>
  <c r="A47" i="3"/>
  <c r="A75" i="4"/>
  <c r="A40" i="4"/>
  <c r="A17" i="4"/>
  <c r="A15" i="3"/>
  <c r="A81" i="4"/>
  <c r="A78" i="4"/>
  <c r="A64" i="4"/>
  <c r="A63" i="4"/>
  <c r="A49" i="4"/>
  <c r="A72" i="3"/>
  <c r="A31" i="3"/>
  <c r="A29" i="3"/>
  <c r="A27" i="3"/>
  <c r="A24" i="3"/>
  <c r="A20" i="3"/>
  <c r="A19" i="3"/>
  <c r="A9" i="3"/>
  <c r="A5" i="2"/>
  <c r="A61" i="3"/>
  <c r="A37" i="3"/>
  <c r="A36" i="3"/>
  <c r="A37" i="4"/>
  <c r="A32" i="4"/>
  <c r="A38" i="4"/>
  <c r="A33" i="4"/>
  <c r="A34" i="4"/>
  <c r="A4" i="6"/>
  <c r="A5" i="6"/>
  <c r="A5" i="1"/>
  <c r="A71" i="3"/>
  <c r="A83" i="4"/>
  <c r="A82" i="4"/>
  <c r="A66" i="4"/>
  <c r="A30" i="4"/>
  <c r="A11" i="4"/>
  <c r="A18" i="3"/>
  <c r="A36" i="4"/>
  <c r="A13" i="3"/>
  <c r="A108" i="4"/>
  <c r="A107" i="4"/>
  <c r="A106" i="4"/>
  <c r="A15" i="4"/>
  <c r="A105" i="4"/>
  <c r="A104" i="4"/>
  <c r="A103" i="4"/>
  <c r="A102" i="4"/>
  <c r="A101" i="4"/>
  <c r="A44" i="4"/>
  <c r="A43" i="4"/>
  <c r="A39" i="4"/>
  <c r="A29" i="4"/>
  <c r="A100" i="4"/>
  <c r="A77" i="4"/>
  <c r="A30" i="3"/>
  <c r="A16" i="4"/>
  <c r="A73" i="4"/>
  <c r="A4" i="4"/>
  <c r="A18" i="4"/>
  <c r="A53" i="4"/>
  <c r="A54" i="4"/>
  <c r="A19" i="4"/>
  <c r="A56" i="4"/>
  <c r="A55" i="4"/>
  <c r="A20" i="4"/>
  <c r="A26" i="4"/>
  <c r="A27" i="4"/>
  <c r="A21" i="4"/>
  <c r="A22" i="4"/>
  <c r="A23" i="4"/>
  <c r="A12" i="4"/>
  <c r="A13" i="4"/>
  <c r="A24" i="4"/>
  <c r="A48" i="4"/>
  <c r="A84" i="4"/>
  <c r="A85" i="4"/>
  <c r="A86" i="4"/>
  <c r="A87" i="4"/>
  <c r="A88" i="4"/>
  <c r="A89" i="4"/>
  <c r="A90" i="4"/>
  <c r="A91" i="4"/>
  <c r="A92" i="4"/>
  <c r="A93" i="4"/>
  <c r="A94" i="4"/>
  <c r="A95" i="4"/>
  <c r="A96" i="4"/>
  <c r="A97" i="4"/>
  <c r="A98" i="4"/>
  <c r="A99" i="4"/>
  <c r="A66" i="3"/>
  <c r="A65" i="3"/>
  <c r="A10" i="2"/>
  <c r="A9" i="2"/>
  <c r="A64" i="3"/>
  <c r="A7" i="1"/>
  <c r="A7" i="2"/>
  <c r="A63" i="3" l="1"/>
  <c r="A62" i="3"/>
  <c r="A25" i="3"/>
  <c r="A35" i="3"/>
  <c r="A10" i="3"/>
  <c r="A11" i="3"/>
  <c r="A45" i="3"/>
  <c r="A8" i="2"/>
  <c r="A6" i="1"/>
</calcChain>
</file>

<file path=xl/sharedStrings.xml><?xml version="1.0" encoding="utf-8"?>
<sst xmlns="http://schemas.openxmlformats.org/spreadsheetml/2006/main" count="1172" uniqueCount="658">
  <si>
    <t>AGENCY CODE</t>
  </si>
  <si>
    <t>DESCRIPTION</t>
  </si>
  <si>
    <t>DOC</t>
  </si>
  <si>
    <t>Department of Commerce</t>
  </si>
  <si>
    <t>DOD-AFOSR</t>
  </si>
  <si>
    <t>Air Force Office of Scientific Research</t>
  </si>
  <si>
    <t>COE for Technical Training and Human Performance</t>
  </si>
  <si>
    <t>DOT-FAA-FAA COE-TTHP</t>
  </si>
  <si>
    <t>FAA-COE-TTHP</t>
  </si>
  <si>
    <t xml:space="preserve">	$1</t>
  </si>
  <si>
    <t>NSF</t>
  </si>
  <si>
    <t>National Science Foundation</t>
  </si>
  <si>
    <t>Innovation Corps Teams (I-CorpsTM* Teams)  Program</t>
  </si>
  <si>
    <t xml:space="preserve">	$50,000</t>
  </si>
  <si>
    <t>The National Science Foundation (NSF) seeks to further develop and nurture a national innovation ecosystem that guides the output of scientific discoveries closer to the development of technologies, products, and services that benefit society. The goals of the NSF Innovation Corps (I-Corps) Program, created in 2011 by NSF,are tospur translation of fundamental research to the marketplace, to encourage collaboration between academia and industry, and to train NSF-funded faculty, students and other researchers in innovation and entrepreneurship skills.
The I-Corps Program utilizes experiential learning of customer and industry discovery, coupled with first-hand investigation of industrial processes, to quickly assess the translational potential of inventions. The I-Corps Program is designed to support the commercialization of "deep technologies,” those revolving around fundamental discoveries in science and engineering. The I-Corps Program addresses the skill and knowledge gaps associated with the transformation of basic research into deep technology ventures (DTVs).
The purpose of the I-Corps Teams program is to identify NSF-funded researchers to receive additional support in the form of entrepreneurial education, mentoring, and funding to accelerate the translation of knowledge derived from fundamental research into emerging products and services that may attract subsequent third-party funding. The outcomes of I-Corps Teams' projects are threefold: 1) a decision on a clear path forward based on an assessment of the business model, 2) substantial first-hand evidence for or against product-market fit, with the identification of customer segments and corresponding value propositions, and 3) a narrative of a technology demonstrationfor potential partners.
WEBINAR:
A webinar will be held monthly to answer questions about this program. Details will be posted on the I-Corps Teams website (seehttps://www.nsf.gov/news/special_reports/i-corps/program.jsp) as they become available.</t>
  </si>
  <si>
    <t>Atmospheric and Geospace Sciences Postdoctoral Research Fellowships</t>
  </si>
  <si>
    <t xml:space="preserve">	$0</t>
  </si>
  <si>
    <t> </t>
  </si>
  <si>
    <t>HHS-NIH11</t>
  </si>
  <si>
    <t>National Institutes of Health</t>
  </si>
  <si>
    <t>Re-entry to Active Research Program</t>
  </si>
  <si>
    <t xml:space="preserve">
$250,000</t>
  </si>
  <si>
    <t>The Division of Chemical, Bioengineering, Environmental, and Transport Systems (CBET) and the Division of Chemistry (CHE) are conducting a Re-entry to Active Research (RARE) program to reengage, retrain, and broaden participation within the academic workforce. The primary objective of the RARE program is to catalyze the advancement along the academic tenure-track of highly meritorious individuals who are returning from a hiatus from active research. By providing re-entry points to active academic research, the RARE program will reinvest in the nation’s most highly trained scientists and engineers, while broadening participation and increasing diversity of experience. A RARE research proposal must describe potentially transformative research that falls within the scope of participating CBET or CHEprograms.
The RARE program includes two Tracks to catalyze the advancement of investigators along the academic tenure system after a research hiatus, either to a tenure-track position or to a higher-tenured academic rank. Track 1 of the RARE program reengages investigators in a competitive funding opportunity with accommodations for gap in record that are a result of the research hiatus. A Track 1 proposal will follow the budgetary guidelines of the relevant CBET program for an unsolicited research proposal or the relevant CHE Disciplinary Research program. Track 2 retrains investigators for whom the research hiatus has led to the need for new or updated techniques, such that retraining is required to return the investigator to competitive research activity. A description of how these new techniques will lead to competitive research in CBET or CHE programs is required. A Track 2 proposal budget will include only funds necessary for specific retraining activities, such as travel to a workshop or conference, workshop registration fees, a retraining sabbatical, or seed funding to support collection of preliminary data (including salary support, equipment usage fees, materials, and/or supplies).
General inquiries regarding this program should be made to:
RAREquestions@NSF.GOV or a RARE Program Officer listed below.</t>
  </si>
  <si>
    <t>Research Coordination Networks (RCN)</t>
  </si>
  <si>
    <t>Tectonics</t>
  </si>
  <si>
    <t xml:space="preserve">
	 $30,000</t>
  </si>
  <si>
    <t>The Tectonics Program supports a broad range of field, laboratory, computational, and theoretical investigations aimed at understanding the deformation of the terrestrial continental lithosphere (i.e. above the lithosphere-asthenosphere boundary). The Program focuses on deformation processes and their tectonic drivers that operate at any depth within the continental lithosphere, on time-scales of decades/centuries (e.g. active tectonics) and longer, and at micro- to plate boundary/orogenic belt length-scales.</t>
  </si>
  <si>
    <t>Future Scholars for Science, Technology, Engineering, and Mathematics (STEM) Workforce Development Programs</t>
  </si>
  <si>
    <t>DOD-AFRL-AFRLDET8</t>
  </si>
  <si>
    <t>AFRL Kirtland AFB</t>
  </si>
  <si>
    <t>The Air Force Research Laboratory (AFRL) at Kirtland Air Force Base, New Mexico, is seeking innovative applications for Future Scholars under Science, Technology, Engineering, and Mathematics (STEM) Workforce Development Programs. AFRL intends to award multiple grants and cooperative agreements, subject to the availability of funds.
This is a five year open Funding Opportunity Announcement (FOA) accepting proposals from the date of publication for award of grants and cooperative agreements, subject to the availability of funds. Once the FOA has reached the five year period and/or funds are no longer available, the announcement will be modified to reflect the announcement as closed. This FOA will be reviewed on an annual basis to ensure awards are pertinent to the Government’s needs and ceiling values.
Proposals may be submitted any time from the FOA issue date, until the final submission deadline for proposals and will be evaluated as they are received. Prior to submitting a proposal, Recipients are required to submit a Letter of Intent to the Points of Contact (POCs) listed in Section VII - Federal Awarding Agency Contact(s).
This FOA supports STEM Workforce Development programs or projects that align with the Federal STEM Strategy and the DoD STEM Mission. This announcement encourages programs or projects that improve the capacity of education systems and communities to create impactful STEM educational experiences for students and teachers, and prepare the 21st century STEM workforce. AFRL’s Workforce Development programs or projects include, but are not limited to:
Internships (High School through Doctoral)
Fellowship Apprentice/Residency Programs
College or University project-based learning programs
Formal or informal workforce development programs or projects that align with the Federal STEM Strategy and DOD STEM Mission
Before submitting an application, Recipients are highly encouraged to read the Federal STEM Education Strategy and the DoD STEM’s Mission.
AFRL anticipates a total of $50,000,000.00 of Federal funding for multiple awards under this FOA. Proposed efforts may range in size, complexity and periods of performance. The Government reserves the right to fund, in whole or in part, any, all, or none of the applications submitted in response to the FOA. Using the authority of 10 U.S.C. § 2192, AFRL will select proposed efforts that meet the anticipated FOA’s Funding Opportunity Description and clearly address the goals and objectives as stated in the FOA.
Questions concerning this FOA may be emailed to:
Sara Telano, Contracting Officer, sara.telano@us.af.mil
Lauren Rice, Contracting Specialist, lauren.rice.3@us.af.mil
Email Subject: FOA-20-AFRL/RVKE-0001 Questions
Please note, Questions and Answers related to this FOA have been posted and are available for review in Grants.gov.</t>
  </si>
  <si>
    <t>Air Superiority Technology Broad Agency Announcement</t>
  </si>
  <si>
    <t>DOD-AFRL-RW</t>
  </si>
  <si>
    <t>Munitions Directorate</t>
  </si>
  <si>
    <t>$3,000,000,86</t>
  </si>
  <si>
    <t>:	$0</t>
  </si>
  <si>
    <t>Broad Agency Announcement for Air Superiority Technology</t>
  </si>
  <si>
    <t>DOD-AMC</t>
  </si>
  <si>
    <t>Dept of the Army -- Materiel Command</t>
  </si>
  <si>
    <t>DOE-ID</t>
  </si>
  <si>
    <t>Idaho Field Office</t>
  </si>
  <si>
    <t>A. STATEMENT OF OBJECTIVES
This Funding Opportunity Announcement (FOA) is to award multiple cooperative agreements to accredited United States (U.S.) two- and four-year colleges and universities (Institutions of Higher Education (IHEs)) to receive and administer scholarship and fellowship funding—provided through the University Nuclear Leadership Program (UNLP) and as administered by the Department of Energy, Office of Nuclear Energy (DOE-NE)—on behalf of selected students attending these U.S. IHEs. The selection of students to receive scholarships and fellowships through the program will occur via a separate DOE-NE process.
A.1 BACKGROUND AND OBJECTIVES
UNLP works to attract qualified nuclear science and engineering students (NS&amp;E) to nuclear energy professions by providing undergraduate level scholarships and graduate level fellowships. The scholarships and fellowships are focused on two-, four-year, and graduate programs in science and engineering disciplines related to nuclear energy such as Nuclear Engineering, Mechanical Engineering, Electrical Engineering, Chemistry, Health Physics, Nuclear Materials Science, Radiochemistry, Applied Nuclear Physics, Nuclear Policy, Radiation Protection Technology, Nuclear Power Technology, Nuclear Maintenance Technology, Nuclear Engineering Technology, Computer Science, and Cybersecurity at U.S. IHEs. In addition for scholarships, disciplines in support of training nuclear energy-related technicians in areas including, but not limited to, nuclear operations, mechanical and electrical maintenance, and radiation protection, are also applicable.
DOE-NE’s mission is to encourage development and exploration of advanced nuclear science and technology. DOE-NE promotes nuclear energy as a resource capable of meeting the nation’s energy, environmental, and national security needs by resolving scientific, technical, and regulatory challenges through research, development, and demonstration.
UNLP supports DOE-NE’s Nuclear Energy University Program (NEUP), which enables outstanding, cutting-edge, and innovative research at U.S. IHEs through the following:
• Integrating research and development (R&amp;D) at U.S. IHEs, national laboratories, and industry to revitalize nuclear education and support NE’sPrograms
• Attracting the brightest students to the nuclear professions and supporting the nation’s intellectual capital in science and engineering disciplines
• Improving U.S. IHE’s infrastructure for conducting R&amp;D and educating students
• Facilitating knowledge transfer to the next generation of workers
Educating undergraduate and graduate students in NS&amp;E will:
• Support the ongoing need for personnel who can develop and maintain the nation’s nuclear power technology
• Enhance the R&amp;D capabilities of U.S. IHEs
• Fulfill national demand for highly trained scientists and engineers to work in NS&amp;E areas</t>
  </si>
  <si>
    <t>FAA Aviation Research Grants Program</t>
  </si>
  <si>
    <t>DOT-FAA-FAA ARG</t>
  </si>
  <si>
    <t>DOT - FAA Aviation Research Grants</t>
  </si>
  <si>
    <t>The FAA hereby announces its continuing interest in receiving applications for aviation research grants and cooperative agreements to pursue the long-term growth and short-term technical needs of civil aviation, under this funding opportunity. Eligibility of applicants for the award of an aviation research grant varies depending on the nature of the proposer's organization, as well as the character of the research being proposed. In general, colleges, universities, and other non- profit research institutions under Section 501(c)(3) of Title 26 of United States Code, are eligible to apply for an aviation research grant.
The FAA Aviation Research Grants Program encourages and supports innovative, advanced research of potential benefit to the long-term growth of civil aviation and commercial space transportation. The pursuit of basic and applied research in scientific and engineering disciplines that have the potential to further knowledge and understanding on a broad front of emerging technologies is crucial to the realization of this goal. The intent is to encourage applied research and development to enhance technology assimilation, transfer, and development in the FAA. The FAA Aviation Research Grants Program does not require the immediate application to Research and Development (R&amp;D) programs, although this may occur in some cases. The FAA encourages the submission of proposals that embrace the entire spectrum of physical, chemical, biological, medical, psychological, mathematical, and engineering sciences.
The following list illustrates topics of interest to those who may consider applying for a grant under this funding opportunity:
1.      Capacity and Air Traffic Control Technology
2.      Communications, Navigation, and Surveillance
3.      Aviation Weather
4.      Airports
5.      Aircraft Safety Technology
6.      Human Factors and Aviation Medicine
7.      Systems Science/Operations Research
8.      Unmanned Aircraft System (UAS) Unmanned Traffic Management (UTM), Class E Upper Airspace Traffic Management (ETM), and Urban Air Mobility (UAM)
For more information, please carefully review FAA Notice of Funding Opportunity 20-01, and any supporting attachments.</t>
  </si>
  <si>
    <t>Technology Development to Reduce Health Disparities (R01 Clinical Trial Optional)</t>
  </si>
  <si>
    <t>The purpose of this funding opportunity is to reduce health disparities through the development and translation of appropriate medical technologies. The NIH defines health disparities as differences in the incidence, prevalence, morbidity, mortality, and burden of diseases and other adverse health outcomes that exist among specific population groups. These population groups include racial and ethnic minorities (African Americans, American Indians, Alaska Natives, Asian Americans, Hispanic Americans, Native Hawaiians, and other U.S. Pacific Islanders, as well as subpopulations of all of these racial/ethnic groups), socioeconomically disadvantaged individuals, sexual and gender minorities, and medically underserved populations including individuals residing in rural and urban areas (see https://www.nimhd/nih.gov/about/overview/). This program seeks advances in medical technologies to reduce health disparities associated with diseases, illnesses, and conditions of public health importance. This announcement encourages applications to develop medical devices, imaging systems, robotic systems, biomaterial interfaces, synthetic biological systems, mathematical and modeling solutions, and other technologies to address the healthcare needs of populations that experience health disparities. Proposed medical technologies must have the following basic characteristics: effective, affordable, culturally acceptable, and easily accessible to those who need them. Responsive grant applications will involve a formal collaboration with a healthcare organization or public health agency serving one or more populations that experience health disparities.</t>
  </si>
  <si>
    <t>NASA-HQ</t>
  </si>
  <si>
    <t>NASA Headquarters</t>
  </si>
  <si>
    <t>Infrastructure Capacity for Biological Research</t>
  </si>
  <si>
    <t>The Infrastructure Capacity for Biological Research (Capacity) Program supports the implementation of, scaling of, or major improvements to research tools, products, and services that advance contemporary biology in any research area supported by the Directorate forBiological Sciences at NSF. The Capacity Program focuses on building capacity in research infrastructure that is broadly applicable to a wide range of researchers in three programmatic areas: Cyberinfrastructure, Biological Collections, and Biological Field Stations and Marine Laboratories. This program will also accept proposals for planning activities or workshops to facilitate coordination that may be necessary in building capacity in infrastructure that meets the needs of a research community. Areas not included in this program are instrumentation (PIs should submit to the MRI program) and, projects that develop infrastructure for a specific research project, laboratory, or institution (PIs should submitted to the relevant BIO programs that would normally support that research). Projects are expected to produce quality products, result in important science outcomes that will be achieved by the users of the resource, be openly accessible to a broad scientific and education community, and serve a community of researchers beyond a single research team.</t>
  </si>
  <si>
    <t>Infrastructure Innovation for Biological Research</t>
  </si>
  <si>
    <t>Long Term Research in Environmental Biology</t>
  </si>
  <si>
    <t>Secure and Trustworthy Cyberspace</t>
  </si>
  <si>
    <t xml:space="preserve">	 $50,000</t>
  </si>
  <si>
    <t>In today's increasingly networked, distributed, and asynchronous world, cybersecurity involves hardware, software, networks, data, people, and integration with the physical world. Society's overwhelming reliance on this complex cyberspace, however, has exposed its fragility and vulnerabilities that defy existing cyber-defense measures; corporations, agencies, national infrastructure, and individuals continue to suffer cyber-attacks. Achieving a truly secure cyberspace requires addressing both challenging scientific and engineering problems involving many components of a system, and vulnerabilities that stem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
The goals of the SaTC program are aligned with the National Science and Technology Council's (NSTC) Federal Cybersecurity Research and Development Strategic Plan (RDSP) and National Privacy Research Strategy (NPRS) to protect and preserve the growing social and economic benefits of cyber systems while ensuring security and privacy. The RDSP identified six areas critical to successful cybersecurity research and development: (1) scientific foundations; (2) risk management; (3) human aspects; (4) transitioning successful research into practice; (5) workforce development; and (6) enhancing the research infrastructure. The NPRS, which complements the RDSP, identifies a framework for privacy research, anchored in characterizing privacy expectations, understanding privacy violations, engineering privacy-protecting systems, and recovering from privacy violations. In alignment with the objectives in both strategic plans, the SaTC program takes an interdisciplinary, comprehensive, and holistic approach to cybersecurity research, development, and education, and encourages the transition of promising research ideas into practice.
The SaTC program welcomes proposals that address cybersecurity and privacy, drawing on expertise in one or more of these areas: computing, communication, and information sciences; engineering; education; mathematics; statistics; and social, behavioral, and economic sciences. Proposals that advance the field of cybersecurity and privacy within a single discipline or interdisciplinary efforts that span multiple disciplines are both welcome.
The SaTC program spans the interests of NSF's Directorates for Computer and Information Science and Engineering (CISE), Engineering (ENG), Mathematical and Physical Sciences (MPS), Social, Behavioral and Economic Sciences (SBE), and Education and Human Resources (EHR). Proposals must be submitted pursuant to one of the following designations, each of which may have additional restrictions and administrative obligations as specified in this program solicitation.
· CORE: This designation is the main focus of the multidisciplinary SaTC research program.
· EDU: The Education (EDU) designation is used to label proposals focusing on cybersecurity and privacy education and training.
· TTP: The Transition to Practice (TTP) designation will be used to label proposals that are focused exclusively on transitioning existing research results to practice.
CORE and TTP proposals may be submitted in one of the following project size classes:
· Small projects: up to $600,000 in total budget, with durations of up to three years; and
· Medium projects: $600,001 to $1,200,000 in total budget, with durations of up to four years.
EDU proposals are limited to $400,000 in total budget, with durations of up to three years. EDU proposals that demonstrate a collaboration, reflected in the PI, co-PI, and/or Senior Personnel composition, between a cybersecurity subject matter expert (researcher or practitioner) and an education researcher may request up to $500,000 for three years.</t>
  </si>
  <si>
    <t>FY2021 to FY2024 NOAA Broad Agency Announcement (BAA)</t>
  </si>
  <si>
    <t>This notice is not a mechanism to fund existing NOAA awards. The purpose of this notice is to request applications for special projects and programs associated with NOAA's strategic plan and mission goals, as well as to provide the general public with information and guidelines on how NOAA will select applications and administer discretionary Federal assistance under this Broad Agency Announcement (BAA).</t>
  </si>
  <si>
    <t>Measurement Science and Engineering (MSE) Research Grant Programs</t>
  </si>
  <si>
    <t>DOC-NIST</t>
  </si>
  <si>
    <t>National Institute of Standards and Technology</t>
  </si>
  <si>
    <t>NIST is soliciting applications for financial assistance for Fiscal Year 2021 (FY21) within the following NIST grant programs: 
1.) the Associate Director for Innovation and Industry Services (ADIIS);
2.) the Associate Director for Laboratory Programs (ADLP); 
3.) the Communications Technology Laboratory (CTL); 
4.) the Engineering Laboratory (EL); 
5.) Fire Research (FR);
6.) the Information Technology Laboratory (ITL);
7.) the International and Academic Affairs Office (IAAO); 
8.) the Material Measurement Laboratory (MML);
9.) the NIST Center for Neutron Research (NCNR); 
10.) the Physical Measurement Laboratory (PML); 
11.) the Special Programs Office (SPO); and 
12.) the Standards Coordination Office (SCO).</t>
  </si>
  <si>
    <t>ARMY APPLICATIONS LAB BROAD AGENCY ANNOUNCEMENT FOR DISRUPTIVE APPLICATIONS</t>
  </si>
  <si>
    <t xml:space="preserve">This BAA sets forth research areas of interest to the Army Applications Lab (AAL). This BAA is issued under paragraph 6.102(d)(2) of the Federal Acquisition Regulation (FAR), which provides for the competitive selection of basic and applied research proposals, and 10 U.S.C. 2358, 10 U.S.C. 2371, and 10 U.S.C. 2371b, which provide the authorities for issuing awards under this announcement for basic and applied research. The definitions of basic and applied research may be found at 32 Code of Federal Regulations (CFR) 22.105.  The definitions of basic and applied research may be found at 32 Code of Federal Regulations (CFR) 22.105.Proposals submitted in response to this BAA and selected for award are considered to be the result of full and open competition and in full compliance with the provision of Public Law 98- 369, "The Competition in Contracting Act of 1984" and subsequent amendments.
</t>
  </si>
  <si>
    <t>Staff Research Program</t>
  </si>
  <si>
    <t>The ARO is soliciting proposals for Staff Research Program opportunities. The purpose of the program is to enable ARO scientific staff to maintain and expand professional competence in support of fulfilling the ARO mission through the conduct of hands-on, basic research. The staff research will be performed collaboratively with institutions external to ARO. Staff research efforts will involve scientific study directed toward advancing the state-of-the-art or increasing knowledge and scientific understanding in engineering, physical, life and information sciences, when there is an intersection with the interests and capabilities of the participating external institutions in these basic research areas.
Protection of Mission Integrity: The primary role of the ARO scientific staff is to objectively assess and fund extramural research at numerous institutions across the U.S. and throughout the world. Since it is vitally important that the ARO be impartial in its actions, ARO scientists cannot engage in activities that could compromise the perceived objectivity of that scientist with respect to the institution, or with respect to the areas of science/engineering that they are responsible for as Program Managers. Consequently, ARO Program Managers will be disqualified from taking official actions regarding any institution at which that PM conducts Staff Research.
Staff research will be conducted, directed and managed by an ARO scientist at the institution's laboratory facilities or field research sites, in collaboration with a PI designated by the institution. ARO scientists will not be named as a PI on any proposal or resulting award. Results of the Staff Research Program may include publication or co-authorship of research results and presentation at scientific forums, and contribute to the education and training of students, in accordance with the terms of the cooperative agreement.
NOTE: ARO scientific staff will seek out a collaborating institution to engage in staff research as opportunities arise and at the discretion of ARO.</t>
  </si>
  <si>
    <t>UNITED STATES MILITARY ACADEMY Broad Agency Announcement</t>
  </si>
  <si>
    <t>he U.S. Military Academy at West Point's mission is "to educate, train, and inspire the Corps of Cadets so that each graduate is a commissioned leader of character committed to the values of Duty, Honor, Country and prepared for a career of professional excellence and service to the Nation as an officer in the United States Army." The United States Military Academy is located at West Point, New York. USMA executes research to enhance the education of cadets, develop the faculty professionally, and address important issues facing the Army and the Nation. In addition, the Academy conducts research and analysis in emerging fields that may realize novel or vastly improved Army capabilities. 
At West Point, research is organized and administered through centers and institutes, most of which reside within academic departments. These centers and institutes, affiliated with each other through the Academy Research Council (ARC), coordinated and supported by the Academic Research Division (ARD), provide the infrastructure necessary to tackle the nation’s and the world’s most challenging problems. Our research centers and institutes bring context to the classroom, are central to our vibrant and pioneering faculty, and are one way West Point connects to the Army and to the Nation. Our students are driven, our faculty is world-class, and through our centers, scholars and scientists thrive and produce their best work. Cadets regularly win Best Paper Awards at national and international graduate-level conferences, our faculty hold fellowships and chairmanships in their discipline's national organizations and our products are deployed to the soldier. In addition to applied research, there are centers and institutes at West Point that focus on other aspects of the USMA mission.
The USMA BAA identifies topics of interest to the USMA departments, directorates, and research centers and institutes. These groups focus on executing in-house research programs, with a significant emphasis on collaborative research with other organizations. The groups fund a modest amount of extramural research in certain specific areas, and those areas are described in this BAA.
The USMA BAA seeks proposals from institutions of higher education, nonprofit organizations, state and local governments, foreign organizations, foreign public entities, and for-profit organizations (i.e., large and small businesses) for research based on the following campaigns: Socio-Cultural; Information Technology; Ballistics, Weapons, and Protections; Energy and Sustainability; Materials, Measurements, and Facilities; Unmanned Systems and Space; Human Support Systems; and Artificial Intelligence, Machine Learning, and Quantum Technologies.
Proposals are sought for cutting-edge innovative research that could produce discoveries with a significant impact to enable new and improved Army technologies and related operational capabilities and related technologies. The specific research areas and topics of interest described in this document should be viewed as suggestive, rather than limiting.</t>
  </si>
  <si>
    <t>LPS Qubit Collaboratory (LQC)</t>
  </si>
  <si>
    <t>The U.S. Army Research Office (ARO) in partnership with NSA’s Laboratory for Physical Science (LPS) is soliciting Incubator, Collaboration, and Fellowship research proposals for participation in the LPS Qubit Collaboratory (LQC). The mission of the LQC can be captured in three broad goals: 1) pursue disruptive fundamental research and enabling technologies with a focus on qubit development for quantum computing and other applications (such as sensing); 2) grow deep, collaborative partnerships to tackle the most difficult and relevant long-term problems in quantum information science and technology; and 3) build a quantum workforce of tomorrow through research experiences in government at LPS and at LQC partners. The LQC will offer a mechanism for collaborative research between LPS and academia, industry, FFRDCs, and Government Laboratories to advance foundational and transformative research on challenging problems that have hindered progress in quantum information processing and associated technologies.
The goal of this BAA is to seek proposals that bring together expertise from the public and private sectors and their respective research infrastructures to advance solutions that may be best approached as a collaborative team. A Collaboratory is “a center without walls, in which the nation’s researchers can perform their research without regard to physical location, interacting with colleagues, accessing instrumentation, sharing data and computational resources, [and] accessing information in digital libraries. This BAA introduces LQC Research Thrusts (A.1.1) which are the technical areas of interest—which will be updated periodically—where partners of the LQC will pursue joint research with LPS through Incubator (A.1.2) and Collaboration (A.1.3) collaborative agreements. The LQC BAA also fulfills the Government’s overarching interest--through the proposed research and on-site research experiences--in creating and training a workforce in quantum science and technology, generating pathways of solutions that feed technology development, establishing partnerships, and creating transition opportunities. In further support of training through research, Section A.1.4 calls for Quantum Computing Research (QuaCR) Graduate and Postdoctoral Fellowships for US citizens working in areas of interest.
Substantial progress on solving the most difficult and long-term Quantum Information Science &amp; Technology (QIST) research problems that unleash further rapid progress in the field will constitute LQC success. Examples of such research problems include (but are not limited to): limits of performance due to device design, material selection, and/or control, the exploration of alternative qubit physics (e.g., different approaches to qubit encoding or types of gates) and lowering of barriers to such approaches, advances in materials that improve qubit gate fidelity, reducing the overhead of classical components in quantum information technology and optimizing classical performance, and the exploration of applications of quantum technologies to new domains.
Three categories of proposals are sought for this BAA:
1.Incubator opportunities seek partnership proposals from single investigators and small research groups, including teaching colleges, who may have unique skillsets to contribute toward the pursuit of the research thrusts presented in A.1.1. Incubator proposals may also be the development of concepts into a detailed technical research approach to advance solution of problems of high interest to quantum information science research. Incubator proposals would avail themselves of the collaboration opportunities with LPS research staff and infrastructure made available at the Laboratory for Physical Sciences (LPS) to lay the groundwork for concepts that may be suitable for a Collaboratory proposal or responses to other DoD quantum information science research opportunities.
2.Collaboratory proposals seek research proposals that bring together a strong significant collaboration--researchers from academia, industry, FFRDCs, and/or Government Laboratories--to pursue long-term projects focused on fundamental problems of interest to qubit development and/or associated science and technology. These collaborative groups will propose to work together in a focused manner for a period of time expected to be one to three years in order to demonstrate a proof-of-concept experiment and/or theory exploration to determine the feasibility of their creative idea.
3.QuaCR Research Fellowship proposals seek to support talented U.S. citizen graduate students and postdoctoral researchers in the field of quantum information processing (primary interest) and quantum sensing (secondary interest). Applicants with a background from either within or outside QIS are encouraged. The proposed research areas are described in this BAA and must enhance active Quantum Information Science research efforts being supported by the Army Research Office and/or LPS. Research fellows are encouraged to complete an LPS Internship during their graduate career or visit during their postdoctoral fellowship</t>
  </si>
  <si>
    <t>Strengthening Teamwork for Robust Operations in Novel Groups (STRONG)</t>
  </si>
  <si>
    <t>The recent acceleration in the emergence and widespread application of artificial intelligence and machine learning (AI/ML) is leading to a fundamental revolution in the way that society functions on all levels across the globe. Whether in wrist-worn sleep and activity monitors, online shopping carts, “smart” mobile devices, or even in our vehicles, AI/ML-enabled intelligent agents are quickly becoming ubiquitous and, as such, fundamental to life experience in the developed world. With ever-more intelligent technological capabilities and particularly the increasing availability, modes, and transmissibility of information that can reshape our understanding of the global context and human action within it, the U.S. Army Research Laboratory has established a new collaborative, basic research program (STRONG) with the intent of providing a foundation for enhanced teamwork within heterogeneous human-intelligent agent teams. This new collaborative venture will bring together diverse, multidisciplinary expertise to support scientific breakthroughs within specific, critical scientific questions that must be addressed to enable this future vision.</t>
  </si>
  <si>
    <t>DOD-DARPA-I2O</t>
  </si>
  <si>
    <t>DARPA - Information Innovation Office</t>
  </si>
  <si>
    <t>DOD-DARPA-MTO</t>
  </si>
  <si>
    <t xml:space="preserve">DARPA - Microsystems Technology Office </t>
  </si>
  <si>
    <t>N00244-22-S-NPS-F001</t>
  </si>
  <si>
    <t>RESEARCH INITIATIVES AT THE NAVAL POST GRADUATE SCHOOL</t>
  </si>
  <si>
    <t>DOD-ONR-SUP</t>
  </si>
  <si>
    <t>Naval Supply Systems Command</t>
  </si>
  <si>
    <t>This FOA is intended for proposals related to basic and applied research in the STEM categories, and not related to the development of a specific system or hardware procurement.</t>
  </si>
  <si>
    <t>RFI - DOE R</t>
  </si>
  <si>
    <t>University, National Laboratory, Industry, andInternational Entities Input to the Office ofNuclear Energy’s Competitive Research and Development Work Scope Development - DOE is seeking ideas in the areas of research, information, comments, feedback, and recommendations from interested parties for future work scopes for the major NE-funded research programs. All responses are to be made at NEUP.gov per the attached instructions.</t>
  </si>
  <si>
    <t>AHRQ Patient-Centered Outcomes Research (PCOR) Mentored Clinical Scientist Career Development Award (K08)</t>
  </si>
  <si>
    <t>HHS-AHRQ</t>
  </si>
  <si>
    <t>Agency for Health Care Research and Quality</t>
  </si>
  <si>
    <t>The primary purpose of the AHRQ Patient-Centered Outcomes Research (PCOR) Mentored Clinical Investigator Career Development Award (K08) program is to provide support for qualified individuals for an intensive, mentored research career development experience in comparative effectiveness research (CER) methods as applied to patient-centered outcomes research (PCOR).</t>
  </si>
  <si>
    <t>AHRQ Patient-Centered Outcomes Research (PCOR) Mentored Research Scientist Career Development Award (K01)</t>
  </si>
  <si>
    <t>The primary purpose of the AHRQ Patient-Centered Outcomes Research (PCOR) Mentored Research Scientist Career Development Award (K01) program is to provide support for qualified individuals for an intensive, mentored research career development experience in comparative effectiveness research (CER) methods as applied to patient-centered outcomes research (PCOR).</t>
  </si>
  <si>
    <t>AHRQ Mentored Career Enhancement Awards for Established Investigators in Patient-Centered Outcome Research (K18)</t>
  </si>
  <si>
    <t>The purpose of this Mentored Career Enhancement grant awards (K18) in Patient Centered Outcomes Research (PCOR) NOFO is to target established mid-career and senior investigators who are interested in developing new skills in comparative effectiveness research methodology and applying these methods to patient-centered outcome research (PCOR).</t>
  </si>
  <si>
    <t>Risk and Protective Factors of Family Health and Family Level Interventions (R01 - Clinical Trial Optional)</t>
  </si>
  <si>
    <t>The purpose of this initiative is to advance the science of minority health and health disparities by supporting research on family health and well-being and resilience. The NIMHD Research Framework recognizes family health, family well-being, and family resilience as critically important areas of research.</t>
  </si>
  <si>
    <t>Plant Biotic Interactions</t>
  </si>
  <si>
    <t>The Plant Biotic Interactions (PBI) program supports research on the processes that mediate beneficial and antagonistic interactions between plants and their viral, bacterial, oomycete, fungal, plant, and invertebrate symbionts, pathogens and pests. This joint NSF/NIFA program supports projects focused on current and emerging model and non-model systems, and agriculturally relevant plants. The program’s scope extends from fundamental mechanisms to translational efforts, with the latter seeking to put into agricultural practice insights gained from basic research on the mechanisms that govern plant biotic interactions. Projects must be strongly justified in terms of fundamental biological processes and/or relevance to agriculture and may be purely fundamental or applied or include aspects of both perspectives. All types of symbiosis are appropriate, including commensalism, mutualism, parasitism, and host-pathogen interactions. Research may focus on the biology of the plant host, its pathogens, pests or symbionts, interactions among these, or on the function of plant-associated microbiomes. The program welcomes proposals on the dynamics of initiation, transmission, maintenance and outcome of these complex associations, includingstudies of metabolic interactions, immune recognition and signaling, host-symbiont regulation, reciprocal responses among interacting species and mechanisms associated with self/non-self recognition such as those in pollen-pistil interactions. Explanatory frameworks shouldinclude molecular, genomic, metabolic, cellular, network and organismal processes, with projects guided by hypothesis and/or discovery driven experimental approaches. Strictly ecological projects that do not address underlying mechanisms are not appropriate for this program. Quantitative modeling in concert with experimental work is encouraged. Overall, the program seeks to support research that will deepen our understanding of the fundamental processes that mediate interactions between plants and the organisms with which they intimately associate and advance the application of that knowledge to benefit agriculture.</t>
  </si>
  <si>
    <t>Condensed Matter and Materials Theory</t>
  </si>
  <si>
    <t xml:space="preserve">CMMT supports theoretical and computational materials research in the topical areas represented in DMR's Topical Materials Research Programs (these are also variously known as Individual Investigator Award (IIA) Programs, or Core Programs, or Disciplinary Programs), which include: Condensed Matter Physics (CMP), Biomaterials (BMAT), Ceramics (CER), Electronic and Photonic Materials (EPM), Metals and Metallic Nanostructures (MMN), Polymers (POL), and Solid State and Materials Chemistry (SSMC). The CMMT program supports fundamental research that advances conceptual understanding of hard and soft materials, and materials-related phenomena; the development of associated analytical, computational, and data-centric techniques; and predictive materials-specific theory, simulation, and modeling for materials research. First-principles electronic structure, quantum many-body and field theories, statistical mechanics, classical and quantum Monte Carlo, and molecular dynamics, are among the methods used in the broad spectrum of research supported in CMMT. Research may encompass the advance of new paradigms in materials research, including emerging data-centric approaches utilizing data-analytics or machine learning. Computational efforts span from the level of workstations to advanced and high-performance scientific computing. Emphasis is on approaches that begin at the smallest appropriate length scale, such as electronic, atomic, molecular, nano-, micro-, and mesoscale, required to yield fundamental insight into material properties, processes, and behavior, to predict new materials and states of matter, and to reveal new materials phenomena. Approaches that span multiple scales of length and time may be required to advance fundamental understanding of materials properties and phenomena, particularly for polymeric materials and soft matter. Areas of recent interest include, but are not limited to: strongly correlated electron systems; active matter; topological phases; low-dimensional materials and systems; quantum and classical nonequilibrium phenomena, the latter including pattern formation, materials growth, microstructure evolution, fracture, and the jamming transition; gels; glasses; disordered materials, hard and soft; defects; high-temperature superconductivity; nanostructured materials and mesoscale phenomena; creation and manipulation of coherent quantum states; polymeric materials and soft condensed matter, biologically inspired materials, and research at the interface with biology.
CMMT encourages potentially transformative submissions at the frontiers of theoretical and computational materials research, which includes but is not limited to: i) advancing the understanding of emergent properties and phenomena of materials and condensed matter systems, ii) developing materials-specific prediction and advancing understanding of properties, phenomena, and emergent states of matter associated with either hard or soft materials, iii) developing and exploring new paradigms including computational and data-enabled approaches to advance fundamental understanding of materials and materials related phenomena, or iv) fostering research at interfaces among subdisciplines represented in the Division of Materials Research.
Research involving significant materials research cyberinfrastructure development, for example, software development with an aim to share software with the broader materials community, should be submitted to CMMT through Computational and Data-Enabled Science and Engineering (CDS&amp;E) within its annual proposal submission window in the fall.
Additional Information
Eligibility rules apply for submissions; please see Section II. Program Description, Section IV. Eligibility Information, and Section V.A Proposal Preparation Instructions. </t>
  </si>
  <si>
    <t>Sustaining Infrastructure for Biological Research</t>
  </si>
  <si>
    <t>The Sustaining Infrastructure for Biological Research (Sustaining) Program supports the continued operation of existing research infrastructure that advances contemporary biology in any research area supported by the Directorate for Biological Sciences (BIO)at NSF. The Sustaining Program focuses primarily on sustaining critical research infrastructure that is cyberinfrastructure or biological living stocks and that is broadly applicable to a wide range of researchers. Projects are expected to ensure continued availability of existing, mature resources that will enable important science outcomes achieved by users representing a broad range of research supported by BIO and its collaborating organizations.</t>
  </si>
  <si>
    <t>Geomorphology and Land-use Dynamics (GLD)</t>
  </si>
  <si>
    <t>he GLD Program supports innovative fundamentalresearch into processes that shape and modify earth'slandscapes over a variety of length and time scales, with afocus on the Holocene. The program encourages research that quantitatively investigates the coupling and feedback among such processes, their rates, and their relative roles, especially in the contexts of variation in biologic, climatic, and tectonic influences and in light of changes due to human impacts. Such research may involve fieldwork, modeling, experimentation, theoretical development, or combinations thereof. GLD is particularly interested in increasing the participation of underrepresented groups in research and education such as women, persons with disabilities, and underrepresented minorities [1] [2], and those from geographically underrepresented areas in science, technology, engineering, and mathematics (STEM). Proposals submitted in response to this solicitation are strongly encouraged to involve PIs, co-PIs, postdoctoral researchers, students, and other personnel who are members of these groups. Proposers are also strongly encouraged to consider involving veterans of the U.S. Armed Forces as part of NSF’s broader effort to promote veteran involvement in STEM research and education.</t>
  </si>
  <si>
    <t>$0</t>
  </si>
  <si>
    <t>$100,000</t>
  </si>
  <si>
    <t>$300,000</t>
  </si>
  <si>
    <t>$750,000</t>
  </si>
  <si>
    <t>$1,000,000</t>
  </si>
  <si>
    <t>$5,000,000</t>
  </si>
  <si>
    <t>$500,000</t>
  </si>
  <si>
    <t>University Nuclear Leadership Program, Scholarship and Fellowship Support</t>
  </si>
  <si>
    <t>$25,000</t>
  </si>
  <si>
    <t>$1,200,000</t>
  </si>
  <si>
    <t>ELIGIBILITY</t>
  </si>
  <si>
    <r>
      <t xml:space="preserve">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All proposals submitted through the LTREB solicitation are processed by 1 of the 3 clusters in the Division of Environmental Biology: Ecosystem Science, Population and Community Ecology, and Evolutionary Processes. Proposals must address topics supported by these clusters. Researchers who are uncertain about the suitability of their project for the LTREB Program are encouraged to contact the cognizant Program Officer.
Ecological research on marine populations, communities and ecosystems is not supported by LTREB and should be directed to the Biological Oceanography Program: (https://www.nsf.gov/funding/pgm_summ.jsp?pims_id=11696&amp;org=OCE). However, research that examines the evolutionary dynamics of marine populations or communities will be accepted. Investigators who are uncertain about the suitability of their research for LTREB are strongly encouraged to contact the managing Program Officers listed in this solicitation.
Examples of current LTREB awards can be viewed at https://www.nsf.gov/awardsearch/ by including 'LTREB' in a title search.
The Program intends to support decadal projects. Funding for an initial, 5-year period requires submission of a proposal that includes a 15-page project description containingtwo essential components: a decadal research plan and a description of core data. Proposals for the second five years of support (renewal proposals) are limited to a ten-page project description.
Continuation of an LTREB project beyond an initial ten-year award will require submission of a new proposal that presents a new decadal research plan.
Specific review criteria for LTREB proposals and renewals are explained within this solicitation. Prospective proposers are advised to </t>
    </r>
    <r>
      <rPr>
        <b/>
        <sz val="11"/>
        <rFont val="Calibri"/>
        <family val="2"/>
      </rPr>
      <t>read this solicitation carefully.</t>
    </r>
  </si>
  <si>
    <t>DOE-NETL</t>
  </si>
  <si>
    <t>National Energy Technology Laboratory</t>
  </si>
  <si>
    <t>Others (see text field entitled "Additional Information on Eligibility" for clarification)
All responsible sources capable of satisfying the Government's needs may submit a proposal that shall be considered by DARPA.  See the Eligibility Information section of the BAA for more information.</t>
  </si>
  <si>
    <t>$202,000</t>
  </si>
  <si>
    <t>Others (see text field entitled "Additional Information on Eligibility" for clarification)
*Who May Submit Proposals: Proposals may only be submitted by the following:
  -
AGS Postdoctoral Research Fellowship proposals are submitted to NSF directly by individuals who meet the eligibility criteria described below. Each individual (also referred to as proposer) must identify one or more scientific mentor(s) and host institution(s) in the proposal. Activities supported by the AGS Fellowship program may be conducted at any appropriate U.S. host institution as defined in the Program Description.
*Who May Serve as PI:
An individual is eligible to submit a proposal to the NSF AGS Postdoctoral Research Fellowship program if all the following criteria are met:
Individual eligibility criteria:
&lt;ul&gt;
&lt;li&gt;Be U.S. citizens (or nationals) or legally admitted permanent residents of the United States (i.e., have a "green card") at the time the proposal is submitted.&lt;/li&gt;
&lt;li&gt;Present research and professional development plans that fall within the purview of the Atmospheric and Geospace Science Sections within the Division of Atmospheric and Geospace Sciences at NSF (&lt;a href="https://www.nsf.gov/div/index.jsp?div=ags"&gt;https://www.nsf.gov/div/index.jsp?div=ags&lt;/a&gt;).&lt;/li&gt;
&lt;li&gt;Meet one of the following criteria:&lt;/li&gt;
&lt;/ul&gt;
&lt;ul&gt;
&lt;li&gt;be currently a graduate student;&lt;/li&gt;
&lt;/ul&gt;
 OR
&lt;ul&gt;
&lt;li&gt;have held a PhD degree in a scientific or engineering field for no more than 2 years at time of submission;&lt;/li&gt;
&lt;/ul&gt;
 OR
&lt;ul&gt;
&lt;li&gt;have less than the equivalent of 18 months full time employment at time of submission if more than 2 years have elapsed since the PhD degree was conferred. To affirm eligibility under this criterion, the proposer must include specific language in the Biographical Sketch.&lt;/li&gt;
&lt;/ul&gt;
Fellowship location criteria:
&lt;ul&gt;
&lt;li&gt;Proposers are encouraged to expand the network of collaborators and implement the Fellowship at an institution new to the proposer. However, proposers who choose to carry out the postdoctoral Fellowship at the institution where they received their PhD or their current institution at the time of submission must meet these three conditions: (1) have been at this institution for at least 12 months at the time of submission; (2) present a strong justification and clearly explain the benefits of this choice to their research and professional development goals; and (3) have two scientific mentors, one at the hosting institution and a second mentor at a different institution and/or department who is a new collaborator with the proposer.&lt;/li&gt;
&lt;/ul&gt;
&lt;ul&gt;
&lt;li&gt;National centers, facilities or institutes funded by other federal agencies, such as NASA, NOAA, EPA or the U.S. Department of Energy, are ineligible as host institutions.&lt;/li&gt;
&lt;/ul&gt;
If a proposer fails to meet any eligibility criterion, their proposal will be returned without review. Proposers uncertain about the eligibility requirements are strongly encouraged to contact a cognizant NSF Program Officer listed in this solicitation.
&lt;span style="text-decoration: underline;"&gt;Awardees must begin the Fellowship within 6 months of notification of an award&lt;/span&gt;. NSF review typically takes 3-6 months. If you are a current graduate student, please consider the review timeframe in your decision when to apply. Awardees who have not received their PhD at the time of proposal submission must present a form certifying their PhD prior to starting a Fellowship.
Proposals that fail to meet the above eligibility requirements will be returned without review.
By signing and submitting the proposal, the fellowship candidate is certifying that they meet the eligibility criteria specified in this program solicitation. Willful provision of false information in this request and its supporting documents or in reports required under an ensuing award is a criminal offense (U.S. Code, Title 18, Section 1001).</t>
  </si>
  <si>
    <t>The Division of Atmospheric and Geospace Sciences (AGS), awards Postdoctoral Research Fellowships (PRF) to highly qualified early career investigators to carry out an independent research program. The research plan of each Fellowship must address scientific questions within the scope of AGS disciplines. These disciplines include Atmospheric Chemistry (ATC), Climate and Large-Scale Dynamics (CLD), Paleoclimate (PC), and Physical and Dynamic Meteorology (PDM) in the Atmospheric Sciences, and Aeronomy (AER), Magnetospheric Physics (MAG), Solar Terrestrial (ST), and Space Weather Research (SWR) in the Geospace Sciences.
The AGS-PRF program supports researchers (also known as Fellows) for a period of up to 24 months with Fellowships that can be taken to the institution of their choice. The program is intended to recognize beginning investigators of significant potential and provide them with experiences in research that will broaden perspectives, facilitate interdisciplinary interactions, and help establish them in leadership positions within the Atmospheric and Geospace Sciences community. Fellowships are awards to individual Fellows, not institutions, and are administered by the Fellows.
AGS has made it a priority to address challenges in creating an inclusive geoscience discipline through activities that increase belonging, accessibility, justice, equity, diversity, and inclusion (BAJEDI). Proposers are encouraged to explicitly address this priority in their proposed activities. Proposers who are women, veterans, persons with disabilities, and underrepresented minorities in science, technology, engineering, and mathematics (STEM), or who have attended two-year colleges and minority-serving institutions for undergraduate or graduate school, or plan to conduct their Fellowship activities at one of these institutions (e.g. Historically Black Colleges and Universities, Tribal Colleges and Universities, Hispanic Serving Institutions, Alaska Native Serving Institutions, and Hawaiian Native and Pacific Islander Serving Institutions) are especially encouraged to apply.</t>
  </si>
  <si>
    <t>Office of Science</t>
  </si>
  <si>
    <t>ID</t>
  </si>
  <si>
    <t>TITLE</t>
  </si>
  <si>
    <t>AGENCY</t>
  </si>
  <si>
    <t>AMOUNT CEIL</t>
  </si>
  <si>
    <t># AWARDS</t>
  </si>
  <si>
    <t>The Office of Science (SC) of the Department of Energy (DOE) hereby announces its continuing interest in receiving grant applications for support of work in the following program areas: Advanced Scientific Computing Research, Basic Energy Sciences, Biological and Environmental Research, Fusion Energy Sciences, High Energy Physics, Nuclear Physics, Isotope R&amp;D and Production, and Accelerator R&amp;D and Production. On September 3, 1992, DOE published in the Federal Register the Office of Energy Research Financial Assistance Program (now called the Office of Science Financial Assistance Program), 10 CFR 605, as a Final Rule, which contained a solicitation for this program. Information about submission of applications, eligibility, limitations, evaluation and selection processes and other policies and procedures are specified in 10 CFR 605.</t>
  </si>
  <si>
    <t>Unrestricted (i.e., open to any type of entity above), subject to any clarification in text field entitled "Additional Information on Eligibility"
 </t>
  </si>
  <si>
    <t>Golden Field Office</t>
  </si>
  <si>
    <t>DOE-GFO</t>
  </si>
  <si>
    <t>$5,000</t>
  </si>
  <si>
    <t>PAMS-SC</t>
  </si>
  <si>
    <t>ATTENTION: This announcement will be revised regularly to incorporate country specific narratives (Attachment 1 of the announcement) with information vital to the content of application. Potential applicants interested in applying to this announcement should click 'Subscribe' to be notified of future revisions. </t>
  </si>
  <si>
    <t>09/18/2027</t>
  </si>
  <si>
    <t>Dept. of the Army -- USAMRAA</t>
  </si>
  <si>
    <t>DOD-AMRAA</t>
  </si>
  <si>
    <t>Department of Defense HIV/AIDS Prevention Program</t>
  </si>
  <si>
    <t>The USAMRDC’s mission is to provide solutions to medical problems of importance to the American Service Member at home and abroad, as well as to the general public at large. The scope of this effort and the priorities attached to specific projects are influenced by changes in military and civilian medical science and technology (S&amp;T), operational requirements, military threat assessments, and national defense strategies. Extramural research and development programs play a vital role in the fulfillment of the objectives established by the USAMRDC. General information on the USAMRDC can be obtained at https://mrdc.health.mil/.</t>
  </si>
  <si>
    <t>09/30/2027</t>
  </si>
  <si>
    <t>DOD USAMRDC FY23-FY27 BROAD AGENCY ANNOUNCEMENT for Extramural Medical Research</t>
  </si>
  <si>
    <t>Others (see text field entitled "Additional Information on Eligibility" for clarification)
*Who May Submit Proposals: Proposals may only be submitted by the following:
  -Non-profit, non-academic organizations: Independent museums, observatories, research labs, professional societies and similar organizations in the U.S.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</si>
  <si>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Information Innovation Office (I2O) Office-wide</t>
  </si>
  <si>
    <t>This Broad Agency Announcement (BAA) seeks revolutionary research ideas for topics not being addressed by ongoing I2O programs or other published solicitations. Potential proposers are highly encouraged to review the current I2O programs (http://www.darpa.mil/about-us/offices/i2o) and solicitations (http://www.darpa.mil/work-with-us/opportunities) to avoid proposing efforts that duplicate existing activities or that are responsive to other published I2O solicitations.</t>
  </si>
  <si>
    <t>Strategic Technology Office (STO) Office-wide</t>
  </si>
  <si>
    <t>DOD-DARPA-STO</t>
  </si>
  <si>
    <t>DARPA - Strategic Technology Office</t>
  </si>
  <si>
    <t>Atmospheric Chemistry</t>
  </si>
  <si>
    <t>The Program supports research on the sources, sinks, transport, and transformation of gases and aerosols in the atmosphere through models, observations, and experiments, including homogeneous and heterogeneous chemical reactions, emissions, deposition, atmospheric oxidation and photochemistry, aqueous-phase chemistry and aerosol processes; the formation of new particles and secondary organic aerosols, the modeling of atmospheric chemical processes, the study of chemical mechanisms in the atmosphere, optical properties of gases and aerosols, and improved methods for measuring the concentrations of trace species and their fluxes into and out of the atmosphere.The Program encourages principal investigators from a wide variety of institutions and backgrounds to submit proposals.</t>
  </si>
  <si>
    <t>Antarctic Research Not Requiring U.S. Antarctic Program (USAP) Field Support</t>
  </si>
  <si>
    <t>The Antarctic Sciences Section (ANT) of the Office of Polar Programs (OPP) supports cutting-edge research tha</t>
  </si>
  <si>
    <t>DEVCOM ARMY RESEARCH LABORATORY BROAD AGENCY ANNOUNCEMENT FOR FOUNDATIONAL RESEARCH</t>
  </si>
  <si>
    <t>11/20/2027</t>
  </si>
  <si>
    <t>Others (see text field entitled "Additional Information on Eligibility" for clarification)
Eligible applicants under this BAA include institutions of higher education, nonprofit organizations, state and local governments, foreign organizations, foreign public entities, and for-profit organizations (i.e. large and small businesses).  For ARO Targeted Opportunities, please see the specific eligibility requirements in the II.A.3 ARO Targeted Opportunities section above. For specific Other Transactions for Prototypes eligibility requirements, please see the “Other Transaction for Prototype or Production” section within the II.B. Federal Award Information section.</t>
  </si>
  <si>
    <t xml:space="preserve">The purpose of this combined Broad Agency Announcement (BAA) under Federal Acquisition Regulation (FAR) Part 35 and Funding Opportunity Announcement (FOA) under 2 Code of Federal Regulations (CFR) 200.204 (henceforth referred to as “BAA”) is to solicit research proposals for submission to the U.S. Army Combat Capabilities Development Command (DEVCOM) Army Research Laboratory (ARL) for funding consideration. </t>
  </si>
  <si>
    <t>Archaeology Program - Doctoral Dissertation Research Improvement Grants</t>
  </si>
  <si>
    <t>Others (see text field entitled "Additional Information on Eligibility" for clarification)
*Who May Submit Proposals: Proposals may only be submitted by the following:
  -
Institutions of Higher Education (IHEs) &amp;ndash; doctoral degree granting IHEs accredited in, and having a campus located in, the U.S., acting on behalf of their faculty members.
*Who May Serve as PI:
The proposal must be submitted through regular organizational channels by the dissertation advisor(s) on behalf of the graduate student. The advisor is the principal investigator (PI) and the student is the co-principal investigator (co-PI). The student must be the author of the proposal. The student must be enrolled at a U.S. institution but need not be a U.S. citizen. To be eligible to serve as the PI, the advisor must be available during the period of proposal submission and review and during the performance of the research in order to relay information and communications from NSF to the student.</t>
  </si>
  <si>
    <t>The Archaeology Program supports anthropologically relevant archaeological research. This means that the value of the proposed research can be justified within an anthropological context. The program sets no priorities by either geographic region or time period. It also has no priorities in regard to theoretical orientation or question and it is the responsibility of the investigator to explain convincingly why the focus of their research is significant and has the potential to contribute to anthropological knowledge. While the program, in order to encourage innovative research, neither limits nor defines specific categories of research, most applications either request funds for field research or the analysis of archaeological material through multiple approaches. The program also supports methodological projects which develop analytic techniques of potential archaeological value.</t>
  </si>
  <si>
    <t xml:space="preserve">
The goal of the RCN program is to advance a field or create new directions in research or education by supporting groups of investigators to communicate and coordinate their research, training and educational activities across disciplinary, organizational, geographic, and international boundaries. The RCN program provides opportunities to foster new collaborations, including international partnerships where appropriate, and address interdisciplinary topics. Innovative ideas for implementing novel networking strategies, collaborative technologies, training, broadening participation, and development of community standards for data and meta- data are especially encouraged. RCN awards are not meant to support existing networks; nor are they meant to support the activities of established collaborations. RCN awards also do not support primary research. Rather, the RCN program supports the means by which investigators can share information and ideas; coordinate ongoing or planned research activities; foster synthesis and new collaborations; develop community standards; and in other ways advance science and education through communication and sharing of ideas. Additional information about the RCN program and its impacts may be found in Porter et al. 2012 Research Coordination Networks: Evidence of the relationship between funded interdisciplinary networking and scholarly impact. BioScience, 62: 282-288
</t>
  </si>
  <si>
    <t>DEVCOM ANALYSIS CENTER BROAD AGENCY ANNOUNCEMENT FOR APPLIED RESEARCH</t>
  </si>
  <si>
    <t>01/04/2028</t>
  </si>
  <si>
    <t>Others (see text field entitled "Additional Information on Eligibility" for clarification)
Unless dictated by the award instrument type, eligible applicants under this BAA include institutions of higher education, nonprofit organizations, state and local governments, foreign organizations, foreign public entities, and for-profit organizations (i.e. large and small businesses). For specific Other Transactions for Prototypes eligibility requirements, please see the “Other Transaction for Prototype or Production” section within the II.B. Federal Award Information section.</t>
  </si>
  <si>
    <t xml:space="preserve">The purpose of this Broad Agency Announcement (BAA) under Federal Acquisition Regulation (FAR) Part 35 and Funding Opportunity Announcement (FOA) under 2 Code of Federal Regulations (CFR) 200.204 (henceforth referred to as “BAA”) is to solicit research proposals for submission to the U.S. Army Combat Capabilities Development Command (DEVCOM) Analysis Center (DAC) for funding consideration. </t>
  </si>
  <si>
    <t>Biological Oceanography</t>
  </si>
  <si>
    <t>The Biological Oceanography Program supports fundamental research in biological oceanography and marine ecology</t>
  </si>
  <si>
    <t>CHIPS Incentives Program – Commercial Fabrication Facilities</t>
  </si>
  <si>
    <t>Others (see text field entitled "Additional Information on Eligibility" for clarification)
An applicant must be a “covered entity” to receive CHIPS Incentives. For purposes of this NOFO, a “covered entity” means a nonprofit entity; a private-sector entity; a consortium of private-sector entities; or a consortium of nonprofit, public, and private-sector entities with a demonstrated ability to substantially finance, construct, expand, or modernize a facility relating to fabrication, assembly, testing, advanced packaging, or production of semiconductors.</t>
  </si>
  <si>
    <t>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commercial facilities for the front- and back-end fabrication of leading-edge, current-generation, and mature-node semiconductors. </t>
  </si>
  <si>
    <t>DOL-ETA</t>
  </si>
  <si>
    <t>Employment and Training Administration</t>
  </si>
  <si>
    <t>$50,000,000</t>
  </si>
  <si>
    <t>The</t>
  </si>
  <si>
    <t>Synthesis Center for Understanding Organismal Resilience</t>
  </si>
  <si>
    <t>07/15/2024</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</si>
  <si>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</si>
  <si>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 xml:space="preserve">Synthesis Centers are a mechanism used by NSF's Directorate for Biological Science (BIO) to bring together communities that leverage existing data to catalyze discoveries through synthesis, analysis, and integrative training. Research supported by the Division of Integrative Organismal Systems (IOS) in BIO focuses on organisms as integrated units of biological organization, i.e., why they are structured as they are and function as they do.
IOS seeks to establish a new Synthesis Center to advance our ability to explain </t>
  </si>
  <si>
    <t>Nanoscale Interactions</t>
  </si>
  <si>
    <t>Thermal Transport Processes</t>
  </si>
  <si>
    <t xml:space="preserve">TheThermal Transport Processesprogram is part of the Transport Phenomena cluster, which alsoincludes1) theCombustion and Fire Systemsprogram; 2) theFluid Dynamicsprogram; and 3) theParticulate and Multiphase Processesprogram.
TheThermal Transport Processesprogram supports engineering research projects that lay the foundation for newadvances in thermal transport phenomena. These projects should either develop new fundamental knowledge or combine existing knowledge in thermodynamics, fluid mechanics, and heat and mass transfer to probe new areas of innovation in thermal transport processes. The program seeks transformative projects with the potential for improvingbasic understanding, predictability and application of thermal transport processes. Projects should articulate the contribution(s) to the fundamental knowledge supporting thermal transport processes and state clearly the potential application(s) impact when appropriate.Projects that combine analytical, experimental and numerical efforts, geared toward understanding, modeling and predicting thermal phenomena, are of great interest.Collaborative and interdisciplinary proposals for which the main contribution is in thermal transport fundamentals are also encouraged. Emphasis is placed on research that demonstrates how thermal transport phenomena affect the existence, behavior and dynamics of components and systems.Priority is given to insightful investigations of fundamental problems with clearly defined economic, environmental and societal impacts.
Some specific areas of interest include:
</t>
  </si>
  <si>
    <t>Particulate and Multiphase Processes</t>
  </si>
  <si>
    <t xml:space="preserve">TheParticulate and Multiphase Processesprogram is part of the Transport Phenomena cluster, which also includes 1) theCombustion and Fire Systemsprogram; 2) theFluid Dynamicsprogram; and 3) theThermal Transport Processesprogram.
Thegoal of theParticulate and Multiphase Processesprogram is to support fundamental research on physico-chemical phenomena that govern particulate and multiphase systems, including flow of suspensions, drops and bubbles, granular and granular-fluid flows, behavior of micro- and nanostructured fluids, unique characteristics of active fluids, and self assembly/directed-assembly processes that involve particulates.The program encourages transformative research to improve our basic understanding of particulate and multiphase processes with emphasis on research that demonstrates how particle-scale phenomena affect the behavior and dynamics of larger-scale systems.Although proposed research should focus on fundamentals, a clear vision is required that anticipates how results could benefit important applications in advanced manufacturing, energy harvesting, transport in biological systems, biotechnology, or environmental sustainability.Collaborative and interdisciplinary proposals are encouraged, especially those that involve a combination of experiment with theory and/or modeling.
Major research areas of interest in the program include:
</t>
  </si>
  <si>
    <t>Interfacial Engineering</t>
  </si>
  <si>
    <t xml:space="preserve">The Interfacial Engineering program is part of the Chemical Process Systems cluster, which also includes: 1) the Catalysis program; 2) the Electrochemical Systems program; and 3) the Process Systems, Reaction Engineering, and Molecular Thermodynamics program.
The goal of the Interfacial Engineering program is to support fundamental research on atomic- and molecular-scale interfacial phenomena and engineering of interfacial properties, processes, and materials. Fundamental understanding of the thermodynamic, kinetic, and transport properties of interfacial systems underpins improvements in chemical process efficiency and resource utilization. As such, proposed research should have a clear vision for how the results will translate to practice in or otherwise advance industrial chemical or biochemical processes. The program encourages proposals that present new approaches to long-standing challenges or address emerging research areas and technologies. Collaborative and interdisciplinary proposals are also encouraged, particularly those that involve a combination of experiment with theory or modeling.
Major research areas of interest in the program include:
</t>
  </si>
  <si>
    <t>Environmental Sustainability</t>
  </si>
  <si>
    <t xml:space="preserve">TheEnvironmental Sustainability program is part of theEnvironmental Engineering and Sustainabilitycluster together with 1) theEnvironmental Engineeringprogram and 2) theNanoscale Interactionsprogram.
The goal of theEnvironmental Sustainabilityprogram is to promote sustainable engineered systems that support human well-being and that are also compatible with sustaining natural (environmental) systems. These systems provide ecological services vital for human survival. Research efforts supported by the program typically consider long time horizons and may incorporate contributions from the social sciences and ethics. The program supports engineering research that seeks to balance society's need to provide ecological protection and maintain stable economic conditions.
There are five principal general research areas that are supported.
</t>
  </si>
  <si>
    <t>Biophotonics</t>
  </si>
  <si>
    <t xml:space="preserve">TheBiophotonicsprogram is part of the Engineering Biology and Health cluster, which also includes: 1) theBiosensingprogram; 2) theCellular and Biochemical Engineeringprogram; 3) theDisability and Rehabilitation Engineeringprogram; and 4) theEngineering of Biomedical Systemsprogram.
The goal of theBiophotonicsprogram is to explore the research frontiers in photonics principles, engineering and technology that are relevant for critical problems in fields of medicine, biology and biotechnology. Fundamental engineering research and innovation in photonics is required to lay the foundations for new technologies beyond those that are mature and ready for application in medical diagnostics and therapies. Advances are needed in nanophotonics, optogenetics, contrast and targeting agents, ultra-thin probes, wide field imaging, and rapid biomarker screening. Low cost and minimally invasive medical diagnostics and therapies are key motivating application goals.
Research topics in this program include:
</t>
  </si>
  <si>
    <t>Electrochemical Systems</t>
  </si>
  <si>
    <t xml:space="preserve">TheElectrochemical Systemsprogram is part of the Chemical Process Systems cluster, which also includes: 1) theCatalysisprogram; 2) theInterfacial Engineeringprogram; and 3) theProcess Systems, Reaction Engineering, and Molecular Thermodynamicsprogram.
The goal of theElectrochemical Systemsprogram is to support fundamental engineering science research that will enable innovative processes involving electrochemistry or photochemistry for the sustainable production of electricity, fuels, chemicals, and other specialty and commodity products. Processes utilizing electrochemistry or photochemistry for sustainable energy and chemical production must be scalable, environmentally benign, reduce greenhouse gas production, and utilize renewable resources. Research projects that stress fundamental understanding of phenomena that directly impact key barriers to improved system or component-level performance (for example, energy efficiency, product yield, process intensification) are encouraged. Processes for energy storage should address fundamental research barriers for renewable electricity storage applications, for transport propulsion, or for other applications that could have impact towards climate change mitigation. For projects concerning energy storage materials, proposals should involve testable hypotheses that involve device or component performance characteristics that are tied to fundamental understanding of transport, kinetics, or thermodynamics. Advanced chemistries beyond lithium-ion are encouraged. Proposed research on processes utilizing electrochemistry or photochemistry should be inspired by the need for economic and impactful conversion processes.
All proposal project descriptions should address how the proposed work, if successful, will improve process realization and economic feasibility and compare the proposed work against current state of the art. Highly integrated multidisciplinary projects are encouraged. When appropriate, collaborations with industrial technologists are encouraged through GOALI proposals. Collaborative projects with an integrated experimental and theoretical approach are also encouraged.
Topics of interest include electrochemical energy storage and electrochemical production/conversion systems. Radically new battery systems can move the U.S. more rapidly toward a more sustainable transportation future and to greater renewable electricity production penetration. High-energy density and high-power density batteries suitable for transportation and renewable energy storage applications are of primary interest. Advanced systems involving metal anodes, solid-state electrolytes, nonaqueous systemsbeyond lithium, aqueous systems beyond lithium,and multivalent chemistries are encouraged. Research activities focused on commercially available systems such as lead-acid and nickel-metal hydride batteries or lithium-ion batteries for medical or consumer electronics applications will not be considered by this program. Novel electrochemical and photochemical systems and processes for the production of chemicals and high-value products are encouraged. Emphasis is placed on those systems that improve process intensification and process modularization with accompanying benefits in energy efficiency and environmental footprint.
Additional fundamental science topics of interest to this program include the study of:
</t>
  </si>
  <si>
    <t>Fluid Dynamics</t>
  </si>
  <si>
    <t>TheFluid Dynamicsprogram is part of the Transport Phenomena cluster, which also includes 1) theCombustion and Fire Systemsprogram; 2) theParticulate and Multiphase Processesprogram; and 3) theThermal Transport Processesprogram.
TheFluid Dynamicsprogram supports fundamental research toward gaining an understanding of the physics of various fluid dynamics phenomena. Proposed research should contribute to basic scientific understanding using and/or creating innovative experimental, theoretical, and/or computational methods.
Major areas of interest and activity in the program include:
·Turbulence and transition: High Reynolds number experiments; large eddy simulation; direct numerical simulation; transition to turbulence; 3-D boundary layers; separated flows; flow control; and drag reduction.High-speed boundary-layer transition and turbulence at Mach numbers greater than 5 to understand modal and/or non-modal interactions leading to boundary layer transition and the ensuing developing and fully developed turbulent boundary layer flows.
·Bio-fluid physics:Bio-inspired flows; biological flows with emphasis on flow physics.
·Non-Newtonian fluid mechanics:Viscoelastic flows; solutions of macro-molecules.
·Microfluidics and nanofluidics: Micro-and nano-scale flow physics.
·Wind and ocean energy harvesting:Focused on fundamental fluid dynamics associated with renewal energy systems or concepts.
·Fluid-structure interactions (FSI):Two-way coupled FSI applications across the low- to high-Reynolds number range are of interest to NSF. In addition, NSF-AFOSR (Air Force Office of Scientific Research) joint funding area is focused on theory, modeling and/or experiments for hypersonic applications. Proposals will be jointly reviewed by NSF and AFOSR using the NSF panel format. Actual funding format and agency split for an award will be determined after the proposal selection process. AFOSR participates in this initiative throughtheAerothermodynamics program(program officer</t>
  </si>
  <si>
    <t>CLOSE DATE</t>
  </si>
  <si>
    <t>$800,000</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</si>
  <si>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There are no restrictions or limits.</t>
  </si>
  <si>
    <t>The Infrastructure Innovation for Biological Research Program (Innovation) supports research to design novel or greatly improved research tools and methods that advance contemporary biology in any research area supported by the Directorate forBiological Sciences at NSF. The Innovation Program focuses on research infrastructure that is broadly applicable to researchers in three programmatic areas: Bioinformatics, Instrumentation, and Research Methods. Infrastructure supported by this program is expected to advance biological understanding by improving scientists’ abilities to manipulate, control, analyze, or measure critical aspects of biological systems, which can be essential for addressing important fundamental research questions. Proposals submitted to these programmatic areas can do one of three things to advance or transform research in biology: develop novel infrastructure, significantly redesign existing infrastructure, or adapt existing infrastructure in novel ways. Projects are expected to have a significant application to one or more biological science questions and have the potential to be used by a community of researchers beyond a single research team.
Please refer to the descriptions of individual programmatic areas for detailed guidance on what is supported through this solicitation (see links below).</t>
  </si>
  <si>
    <t>04/14/2025</t>
  </si>
  <si>
    <t>Others (see text field entitled "Additional Information on Eligibility" for clarification)
Eligibility for all programs listed in this NOFO is open to all non-Federal entities. Eligible applicants include institutions of higher education, non-profit organizations, for-profit organizations, state and local governments, Indian tribes, hospitals, foreign public entities, and foreign governments. NIST seeks to collaborate with a wide range of organizations and encourages minority-serving institutions of higher education to apply. Please note that individuals and unincorporated sole proprietors are not considered “non-Federal entities” and are not eligible to apply under this NOFO.</t>
  </si>
  <si>
    <t>NIST’s mission is to drive innovation and industrial competitiveness through measurement science and standards by cultivating a culture of belonging that integrates diversity, equity, inclusion, and accessibility in all ways of working. One component of this mission is NIST’s ongoing effort to develop a diverse, world-class pool of scientists and engineers to engage in NIST's measurement science and standards research, and to support the development of a general population that understands and appreciates measurement science and standards. NIST also seeks to collaborate with a wide range of organizations, including but not limited to minority-serving institutions such as Historically Black colleges and universities, as well as community colleges, in support of NIST's mission.</t>
  </si>
  <si>
    <t>UNITED STATES ARMY RESEARCH INSTITUTE FOR THE BEHAVIORAL AND SOCIAL SCIENCES (ARI) BROAD AGENCY ANNOUNCEMENT FOR BASIC, APPLIED, AND ADVANCED SCIENTIFIC RESEARCH</t>
  </si>
  <si>
    <t>04/30/2028</t>
  </si>
  <si>
    <t>Others (see text field entitled "Additional Information on Eligibility" for clarification)
Proposals are sought from institutions of higher education, non-profit organizations, and for- profit organizations, domestic or foreign, for research and development (R&amp;D) in those areas specified in SECTION II. A of this BAA. Foreign organization and foreign public entities are advised that security restrictions may apply that could preclude their participation in these efforts. Countries included on the U.S. State Department List of Countries that Support Terrorism are excluded from participation in these efforts.Government Laboratories, Federal Funded Research and Development Centers (FFRDCs), and U.S. Service Academies are not eligible to participate as prime Contractors or Recipients under this BAA. If a proposal selected for award includes the involvement of a Government laboratory, Federally Funded Research and Development Center, or U.S. Service Academy, award funds allocated for the involvement of Government laboratories, FFRDCs, and/or U.S. Service Academies will be directly provided from ARI to the respective Government laboratory, FFRDC or U.S. Service Academy via a Military Interdepartmental Purchase Request (MIPR). No award funds will be channeled directlyfrom a prime awardee (e.g., Contractor or Recipient) to a Government laboratory, FFRDC, orU.S. Service Academy.</t>
  </si>
  <si>
    <t>This Broad Agency Announcement (BAA), which sets forth research areas of interest to the United States Army Research Institute for the Behavioral and Social Sciences (ARI), is issued under the provisions of paragraph 6.102(d)(2) and 35.016 of the Federal Acquisition Regulation (FAR), which provides for the acquisition of basic and applied research and that part of development not related to the development of a specific system or hardware procurement through the competitive selection of proposals, and 10 U.S.C. 4001, 10 U.S.C. 4021, and 10 U.S.C. 4022, which provide the authorities for issuing awards under this announcement for basic and applied research. Proposals submitted in response to this BAA and selected for award are considered to be the result of full and open competition and in full compliance with the provisions of Public Law 98-369, "The Competition in Contracting Act of 1984" and subsequent amendments.</t>
  </si>
  <si>
    <t>DOD-DARPA-BTO</t>
  </si>
  <si>
    <t>DARPA - Biological Technologies Office</t>
  </si>
  <si>
    <t>Combustion and Fire Systems</t>
  </si>
  <si>
    <t>TheCombustion and Fire Systemsprogram is part of the Transport Phenomena cluster, which also includes 1) theFluid Dynamicsprogram; 2) theParticulate and Multiphase Processesprogram; and 3) theThermal Transport Processesprogram.
The goal of theCombustion and Fire Systemsprogram is to</t>
  </si>
  <si>
    <t>AMOUNT FLOOR</t>
  </si>
  <si>
    <t>Program Year 2023 Planning Guidance for National Farmworker Jobs Program Career Services and Training Grantees</t>
  </si>
  <si>
    <t>06/16/2024</t>
  </si>
  <si>
    <t>$23,902,460</t>
  </si>
  <si>
    <t>Others (see text field entitled "Additional Information on Eligibility" for clarification)
Eligible applicants are only current National Farmworker Jobs Program (NFJP) grantees for Career Services and Training grants.</t>
  </si>
  <si>
    <t>Questions regarding this Training and Employment Guidance Letter may be emailed to Porter.Sharon.d@dol.gov.   </t>
  </si>
  <si>
    <t>Centers of Research Excellence in Science and Technology</t>
  </si>
  <si>
    <t>12/06/2024</t>
  </si>
  <si>
    <t>Others (see text field entitled "Additional Information on Eligibility" for clarification)
*Who May Submit Proposals: Proposals may only be submitted by the following:
  -
Eligible institutions are MSIs that offer graduate degrees in NSF STEM areas and have enrollments of 50% or more students (based on total student enrollment) who are members of minority groups underrepresented among those holding advanced degrees in science and engineering fields: Alaska Natives,African Americans and Blacks,American Indians,Hispanic or Latin Americans, Native Hawaiians, and Native Pacific Islanders. Proposals are also invited from institutions of higher education that meet the 50% enrollment criterion and primarily serve populations of students with disabilities. Eligibility may be determined by reference to the Integrated Postsecondary Education Data System (IPEDS) of the US Department of Education National Center for Education Statistics (http://nces.ed.gov/ipeds/).
Funding of partnering institutions should be requested via subawards in the full proposal; separately submitted collaborative proposals will not be accepted.
CREST partnership supplemental funding requests are accepted only from current CREST Center awardees.
*Who May Serve as PI:
The Principal Investigator (PI) must hold a full-time faculty appointment at the institution submitting the proposal.</t>
  </si>
  <si>
    <t>CREST Center awards provide support to enhance the research capabilities of Minority-serving institutions (MSIs) through the establishment of centers that effectively integrate education and research. CREST Center awards promote the development of new knowledge, enhancements of the research productivity of individual faculty, and an expanded presence of students historically underrepresented in science, technology, engineering, and mathematics (STEM) disciplines.
Successful CREST Center proposals will demonstrate a clear vision and integration of STEM research and education and will align with the mission of the Division of Equity for Excellence in STEM (EES) with respect to the development of a diverse STEM workforce. CREST Centers are also expected to provide leadership by meaningfully involving the efforts of those faculty, students, and postdoctoral researchers who are traditionally underrepresented in STEM at all levels. Centers are required to use evidence-based and innovative strategies to address salient broadening participation and workforce development issues, such as recruitment, retention, and mentorship of participants from underrepresented groups. Successful proposals are expected to achieve national research competitiveness, broaden participation in STEM, and generate sustained, non-CREST funding from federal, state, and/or private-sector sources.
PhaseI and Phase II CREST Center Awards
Preliminary proposals are required for Phase I and Phase II projects. Thus, an invitation from NSF must be received before submitting a full proposal. Both Phase I and Phase II CREST Center awards provide multi-year support for institutions that demonstrate a strong research base. Phase I CREST Center awards provide funding for five years of research on a specific NSF-supported topic. If invited, institutions may submit a Phase II CREST Center proposal requesting funding to continue research in the same disciplinary area as the Phase I Center or may submit a Phase I proposal focused on a disciplinary area that is significantly different from those of the previous award(s).
CREST Partnership Supplements
CREST Partnership Supplemental funding requests are invited from current CREST Center awardees. Supplements support the establishment or strengthening of partnerships and collaborations with active CREST Centers and other nationally or internationally recognized research centers (including NSF-supported research centers), private sector research laboratories, K-12 schools, and/or informal science entities, including museums and science centers, as appropriate. Such partnerships and collaborations should aid CREST Centers’ quest in advancing knowledge and education on a research theme of national significance.</t>
  </si>
  <si>
    <t>Energy, Power, Control, and Networks</t>
  </si>
  <si>
    <t xml:space="preserve">The Energy, Power, Control, andNetworks (EPCN) Program supports innovative research in modeling, optimization, learning, adaptation, and control of networked multi-agent systems, higher-level decision making, and dynamic resource allocation, as well as risk management in the presence of uncertainty, sub-system failures, and stochastic disturbances. EPCN also invests in novel machine learning algorithms and analysis, adaptive dynamic programming, brain-like networked architectures performing real-time learning, and neuromorphic engineering. EPCN’s goal is to encourage research on emerging technologies and applications including energy, transportation, robotics, and biomedical devices &amp; systems. EPCN also emphasizes electric power systems, including generation, transmission, storage, and integration of renewable energy sources into the grid; power electronics and drives; battery management systems; hybrid and electric vehicles; and understanding of the interplay of power systems with associated regulatory &amp; economic structures and with consumer behavior.
Areas managed by Program Directors (please contact Program Directors listed in the </t>
  </si>
  <si>
    <t>Biological Technologies</t>
  </si>
  <si>
    <t>06/20/2024</t>
  </si>
  <si>
    <t>This announcement seeks revolutionary research ideas for topics not being addressed by ongoing BTO programs or other published solicitations.</t>
  </si>
  <si>
    <t>Redefining Possible - 2023</t>
  </si>
  <si>
    <t>DOD-DARPA-TTO</t>
  </si>
  <si>
    <t>DARPA - Tactical Technology Office</t>
  </si>
  <si>
    <t>06/14/2024</t>
  </si>
  <si>
    <t>The Tactical Technology Office (TTO) of the Defense Advanced Research Projects Agency (DARPA) is soliciting executive summaries, proposal abstracts, and proposals for applied research, advanced technology development, platform demonstrations, or systems studies that aim to redefine the future of warfighting across four domains: Air, Ground, Maritime, and Space.</t>
  </si>
  <si>
    <t>NAVAL AIR WARFARE CENTER AIRCRAFT DIVISION OFFICE-WIDE BROAD AGENCY ANNOUNCEMENT (BAA)</t>
  </si>
  <si>
    <t>DOD-ONR-AIR</t>
  </si>
  <si>
    <t>NAVAIR</t>
  </si>
  <si>
    <t>06/22/2024</t>
  </si>
  <si>
    <t>The Naval Air Warfare Center Aircraft Division (NAWCAD) is interested in receiving white papers for Research and Development projects which offer potential for advancement and improvement of NAWCAD operations. See attachment, N00421-23-S-0001 NAWCAD Office-Wide BAA, for further details</t>
  </si>
  <si>
    <t>C4ISR, Information Operations, Cyberspace Operations and Information Technology System Research, Cryogenics and Quantum Broad Agency Announcement (BAA)</t>
  </si>
  <si>
    <t>DOD-ONR-NIWCPAC</t>
  </si>
  <si>
    <t>Naval Information Warfare Center Pacific</t>
  </si>
  <si>
    <t>06/07/2024</t>
  </si>
  <si>
    <t>Others (see text field entitled "Additional Information on Eligibility" for clarification)
All responsible sources as defined at FAR 9.104-1, Contract Qualifications - Responsible Prospective Contractors, General Standards, may submit a proposal</t>
  </si>
  <si>
    <t>Amendment 0001</t>
  </si>
  <si>
    <t>Facility and Instrumentation Request Process</t>
  </si>
  <si>
    <t>The Facility andInstrumentationRequest Process (FIRP)solicitation describes themechanismby which the research community can propose projects that require access toinstrumentation and facilities sponsored by the</t>
  </si>
  <si>
    <t>Catalysis</t>
  </si>
  <si>
    <t xml:space="preserve">The Catalysis program is part of the Chemical Process Systems cluster, which also includes: 1) the Electrochemical Systems program; 2) the Interfacial Engineering program; and 3) the Process Systems, Reaction Engineering, and Molecular Thermodynamics program.
The goals of the Catalysis program are to increase fundamental understanding in catalytic engineering science and to advance the development of catalysts and catalytic reactions that are beneficial to society. Research should focus on critical challenges and opportunities in both new and proven catalysis technologies. Areas of emphasis may include novel catalyst compositions, structures, operating environment, data science tools, theory, and modeling – preferably in various combinations as dictated by the specific reaction and related knowledge and technology gaps. Target applications include fuels, specialty and bulk chemicals, environmental catalysis, biomass conversion to fuels and chemicals, greenhouse gas mitigation, recycling of waste materials, generation of solar hydrogen, as well as efficient routes to energy utilization.
Heterogeneous catalysis represents the main thrust of the program. Proposals related to both gas-solid and liquid-solid heterogeneous catalysis are welcome, as are proposals that incorporate concepts from homogeneous catalysis. Recent research trends have highlighted the need for evaluation of catalyst performance and properties under working conditions, especially as supported by advanced in situ and in operando characterization methods. Catalyst synthesizability and stability present additional research opportunities given the harsh operating environments of many catalytic processes. 
Topic areas of particular interest include:
</t>
  </si>
  <si>
    <t>Process Systems, Reaction Engineering, and Molecular Thermodynamics</t>
  </si>
  <si>
    <t xml:space="preserve">TheProcess Systems, Reaction Engineering, and Molecular Thermodynamicsprogram is part of the Chemical Process Systems cluster, which also includes: 1) theCatalysisprogram; 2) theElectrochemical Systemsprogram; and 3) theInterfacial Engineeringprogram.
The goal of theProcess Systems, Reaction Engineering, and Molecular Thermodynamicsprogram is to advance fundamental engineering research on the rates and mechanisms of chemical reactions, systems engineering, and molecular thermodynamics as they relate to the design and optimization of chemical reactors and the production of specialized materials that have important impacts on society.
The program supports the development of advanced optimization and control algorithms for chemical processes, molecular and multi-scale modeling of complex chemical systems, fundamental studies on molecular thermodynamics, and the integration of these methods and concepts into the design of novel chemical products and manufacturing processes. This program supports sustainable chemical manufacturing research on the development of energy-efficientchemical processes and environmentally-friendly chemical products through concurrent chemical product/process design methods.Sustainability is also enhanced by research that promotes the electrification of the chemical process industries over current thermally-activated processes.
Proposals should focus on:
</t>
  </si>
  <si>
    <t>Cellular and Biochemical Engineering</t>
  </si>
  <si>
    <t xml:space="preserve">Synopsis
TheCellular and Biochemical Engineering(CBE)program is part of theEngineering Biology and Healthcluster, which also includes: 1) theBiophotonicsprogram; 2) theBiosensingprogram; 3) theDisability and Rehabilitation Engineeringprogram; and 4) theEngineering of Biomedical Systemsprogram.
TheCellular and Biochemical Engineeringprogram supports fundamental engineering research that advances understanding of cellular andbiomolecular processes. CBE-funded research may lead to the development of enabling technology for advanced biomanufacturing of therapeutic cells, biochemicals, and biopharmaceuticals, and for otherbiotechnology industrie.
The program encourages highly innovative and potentially transformative engineering research leading to novel bioprocessing and biomanufacturing approaches. Fundamental to many CBE research projects is the understanding of how biomolecules, subcellular systems, cells, and cell populations interact, and how those interactions lead to changes in structure, function, and behavior. A quantitative treatment of problems related to biological processes is considered vital to successful research projects in the CBE program.
Major areas of interest for the program include:
</t>
  </si>
  <si>
    <t>Engineering of Biomedical Systems</t>
  </si>
  <si>
    <t xml:space="preserve">TheEngineering of Biomedical Systemsprogram is part of the Engineering Biology and Health cluster, which also includes: 1) theBiophotonicsprogram; 2) theBiosensingprogram; 3) theCellular and Biochemical Engineeringprogram; and 4) theDisability and Rehabilitation Engineeringprogram.
The goal of theEngineering of Biomedical Systems(EBMS) program is to provide opportunities for fundamental and transformative research projects that integrate engineering and life sciences to solve biomedical problems and serve humanity in the long term. Projects are expected to use an engineering framework (for example, design or modeling) that supports increased understanding of physiological or pathophysiological processes. Projects must include objectives that advance both engineering and biomedical sciences.
Projects may include: methods, models, and enabling tools applied to understand or control living systems; fundamental improvements in deriving information from cells, tissues, organs, and organ systems; or new approaches to the design of systems that include both living and non-living components for eventual medical use in the long term.
TheEBMS programsupports fundamental and transformative research in the following areas of biomedical engineering:
</t>
  </si>
  <si>
    <t>*Yellow Opportunities are New, ** Click on ID to see funding page</t>
  </si>
  <si>
    <t>Pioneering Aerospace Capabilities, Engineering and Research (PACER)</t>
  </si>
  <si>
    <t>DOD-AFRL</t>
  </si>
  <si>
    <t>Air Force -- Research Lab</t>
  </si>
  <si>
    <t>05/10/2043</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</si>
  <si>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See "Limit on Number of Proposals per PI or Co-PI" below.</t>
  </si>
  <si>
    <t>CMMT supports theoretical and computational materials research in the topical areas represented in DMR's other Topical Materials Research Programs (these are also variously known as Individual Investigator Award (IIA) Programs, or Core Programs, or Disciplinary Programs), which are: Condensed Matter Physics (CMP), Biomaterials (BMAT), Ceramics (CER), Electronic and Photonic Materials (EPM), Metals and Metallic Nanostructures (MMN), Polymers (POL), and Solid State and Materials Chemistry (SSMC). The CMMT program supports fundamental research that advances conceptual understanding of hard and soft materials, and materials-related phenomena; the development of associated analytical, computational, and data-centric techniques; and predictive materials-specific theory, simulation, and modeling for materials research. First-principles electronic structure, quantum many-body and field theories, statistical mechanics, classical and quantum Monte Carlo, and molecular dynamics, are among the methods used in the broad spectrum of research supported in CMMT. Research may encompass the advance of new paradigms in materials research, including emerging data-centric approaches utilizing data-analytics or machine learning. Computational efforts span from the level of workstations to advanced and high-performance scientific computing. Emphasis is on approaches that begin at the smallest appropriate length scale, such as electronic, atomic, molecular, nano-, micro-, and mesoscale, required to yield fundamental insight into material properties, processes, and behavior, to predict new materials and states of matter, and to reveal new materials phenomena. Approaches that span multiple scales of length and time may be required to advance fundamental understanding of materials properties and phenomena, particularly for polymeric materials and soft matter. Areas of recent interest include, but are not limited to: strongly correlated electron systems; topological phases; low-dimensional materials and systems; quantum and classical nonequilibrium phenomena, the latter including pattern formation, materials growth, microstructure evolution, fracture, and the jamming transition; gels; glasses; disordered materials, hard and soft; defects; high-temperature superconductivity; creation and manipulation of coherent quantum states; nanostructured materials and mesoscale phenomena; sustainable materials; polymeric materials and soft condensed matter; active matter and related collective behavior; biologically inspired materials, and research at the interfaces of materials with biological systems.
CMMT encourages potentially transformative submissions at the frontiers of theoretical, computational, and data-intensive materials research, which includes but is not limited to: i) advancing the understanding of emergent properties and phenomena of materials and condensed matter systems, ii) developing materials-specific prediction and advancing understanding of properties, phenomena, and emergent states of matter associated with either hard or soft materials, iii) developing and exploring new paradigms including computational and data-enabled approaches to advance fundamental understanding of materials and materials related phenomena, iv) fostering research at interfaces among subdisciplines represented in the Division of Materials Research, v) harnessing machine learning or developing explainable machine learning to advance understanding of materials and materials-related phenomena, or vi) developing new theoretical frameworks in areas of materials research, such as active matter, nonequilibrium materials or matter, the synthesis of solid-state materials, or reformulating quantum many-body theory for conceptual insight or greater tractability.
Research involving significant materials research cyberinfrastructure development, for example, software development with an aim to share software with the broader materials community, should be submitted to CMMT through Computational and Data-Enabled Science and Engineering (CDS&amp;E) in accordance with its submission instructions for DMR.
Additional Information
Eligibility rules apply for submissions; please see Section II. Program Description, Section IV. Eligibility Information, and Section V.A Proposal Preparation Instructions.</t>
  </si>
  <si>
    <t>Division of Materials Research: Topical Materials Research Programs</t>
  </si>
  <si>
    <t>Materials Research is the field of science where physics, chemistry, materials science, and engineering naturally converge in the pursuit of the fundamental understanding of the properties of materials and the phenomena they host. Materials are abundant and pervasive, serving as critical building blocks in technology and innovation. Materials Research impacts life and society, as it shapes our understanding of the material world and enables significant advances spanning the range from nanoelectronics to health-related fields. The development and deployment of advanced materials are major drivers of U.S. economic growth.
Research supported by the Division of Materials Research (DMR) focuses on advancing the fundamental understanding of materials, materials discovery, design, synthesis, characterization, properties, and materials-related phenomena. DMR awards enable understanding of the electronic, atomic, and molecular structures, mechanisms, and processes that govern nanoscale to macroscale morphology and properties; manipulation and control of these properties; discovery of emerging phenomena of matter and materials; and creation of novel design, synthesis, and processing strategies that lead to new materials with unique characteristics. These discoveries and advancements transcend traditional scientific and engineering disciplines. Projects supported by DMR are not only essential for the development of future technologies and industries that address societal needs, but also for the preparation of the next generation of materials researchers.
Additional Information
Eligibility rules apply for submissions; please see Section II. Program Description, Section IV. Eligibility Information, and Section V.A Proposal Preparation Instructions</t>
  </si>
  <si>
    <t>Computational and Data-Enabled Science and Engineering</t>
  </si>
  <si>
    <t xml:space="preserve">Large-scale simulations and the ability to accumulate massive amounts of data have revolutionized science and engineering. The goal of the Computational and Data-enabled Science and Engineering (CDS&amp;E) meta-program is to identify and capitalize on opportunities for major scientific and engineering breakthroughs through new computational and data-analysis approaches and best practices. The CDS&amp;E meta-program supports projects that harness computation and data to advance knowledge and accelerate discovery above and beyond the goals of the participating individual programs. The intellectual drivers may be in an individual discipline or cut across more than one discipline in various Divisions and Directorates. A CDS&amp;E proposal should enable and/or utilize the development and adaptation of advances in research and infrastructure in computational and data science.
The CDS&amp;E meta-program encourages research that pushes the envelope of science and engineering through computation and data, welcoming proposals in any research area supported by the participating divisions. A proposal may address topics that develop or enable interactions among theory, computing, experiment, and observation to achieve progress on hitherto intractable science and engineering problems. Areas of emphasis for CDS&amp;E vary by program. PIs are advised to consult the "related programs" links below before submitting.
The CDS&amp;E meta-program is not intended to replace existing programs that support projects involving computation or the analysis of large or complex data sets using established methods. Rather, proposals submitted to the CDS&amp;E meta-program must have a significant component of computational or data science that goes well beyond what would typically be included in these programs.Any proposal submitted to the CDS&amp;E program that is not responsive to this Program Description may be transferred to or reviewed within the context of an individual program. A proposal requesting consideration within the context of CDS&amp;E should begin the title with the identifying acronym "CDS&amp;E:". Supplement requests to existing awards may also be considered. A CDS&amp;E proposal should include substantive science, engineering, or computing research. Algorithm and pilot software development supporting science and engineering may also be appropriate, depending on the program. Proposers who seek to implement proven, existing methods into robust cyberinfrastructure are referred instead to the program on </t>
  </si>
  <si>
    <t>BROAD AGENCY ANNOUNCEMENT (BAA) for Extramural Biomedical Research and Development Department of Defense</t>
  </si>
  <si>
    <t>07/31/2028</t>
  </si>
  <si>
    <t>The FY23 -FY28 Broad Agency Announcement for Extramural Biomedical Research and Development - HT9425-23-S-SOC1.</t>
  </si>
  <si>
    <t>DOD-WHS</t>
  </si>
  <si>
    <t>Washington Headquarters Services</t>
  </si>
  <si>
    <t>DOD-DARPA-DSO</t>
  </si>
  <si>
    <t>DARPA - Defense Sciences Office</t>
  </si>
  <si>
    <t>Forward-Looking Experimentation (FLEX)</t>
  </si>
  <si>
    <t>08/09/2024</t>
  </si>
  <si>
    <t>The Microsystems Technology Office at DARPA seeks fundamental research proposals for disruptive ideas in information and communication technologies (ICT) addressing the grand challenges for a data-driven future. Proposed research should investigate innovative approaches that enable revolutionary advances in science, devices, or systems. The goal of the Forward-Looking Experimentation (FLEX) program is to identify the direction and timing of key disruptive advances in ICT, accelerate technology exploration and generate intellectual property, develop next-generation researchers for the U.S. workforce, and build the foundation for future research programs.</t>
  </si>
  <si>
    <t>Defense Security Cooperation University - Research Grants</t>
  </si>
  <si>
    <t>08/07/2024</t>
  </si>
  <si>
    <t>Others (see text field entitled "Additional Information on Eligibility" for clarification)
For Research and Lessons Learned Institute (RALLI) Awards: Eligible applicants include individual researchers (with or without an affiliation); professional military education (PME) and civilian academic institutions; U.S. and international research and think thank institutions; federally funded research and development centers (FFRDCs); U.S. interagency security cooperation communities of interest; the security cooperation workforce; industry; non-profit institutions; state and/or local educational agencies; or consortia of such institutions and/or industry. Foreign entities may be considered. For Irregular Warfare Center (IWC) Awards: Eligible applicants include individual researchers affiliated with an accredited college or university and professional military education (PME) and civilian academic institutions.Current and past awardees from this initiative, or previous versions of this initiative, are eligible to submit white papers/applications under this NFO. University-affiliated research centers (UARC) are eligible to submit white papers and applications under this NFO, unless precluded from doing so by their Department of Defense UARC contract.</t>
  </si>
  <si>
    <t>The Defense Security Cooperation Agency’s (DSCA) Defense Security Cooperation University (DSCU) promotes access to and production of knowledge on security cooperation, or “all DOD interactions with foreign security establishments that build and develop allied and partner security capabilities and capacity for self-defense and multinational operations, provide the Armed Forces of the United States with access to the foreign country during peacetime or a contingency operation, and build relationships that promote specific United States security interests” (Joint Publication 3-20, Security Cooperation, 1-2). Evidence-building activities that contribute to the body of knowledge on security cooperation—hereafter “SC research”—are the primary focus of this NFO.</t>
  </si>
  <si>
    <t>DOE-ARPAE</t>
  </si>
  <si>
    <t xml:space="preserve">Advanced Research Projects Agency Energy </t>
  </si>
  <si>
    <t>CHIPS Incentives Program – Facilities for Semiconductor Materials and Manufacturing Equipment</t>
  </si>
  <si>
    <t>Others (see text field entitled "Additional Information on Eligibility" for clarification)
An applicant must be a “covered entity” to receive CHIPS Incentives. For purposes of this NOFO, a “covered entity” means a nonprofit entity; a private-sector entity; a consortium of private-sector entities; or a consortium of nonprofit, public, and private-sector entities with a demonstrated ability to substantially finance, construct, expand, or modernize a facility relating to the fabrication, assembly, testing, advanced packaging, production, or research and development of semiconductors, materials used to manufacture semiconductors or semiconductor manufacturing equipment.</t>
  </si>
  <si>
    <t>The CHIPS Incentives Program aims to catalyze long-term economically sustainable growth in the domestic semiconductor industry in support of U.S. economic and national security. This is the second Notice of Funding Opportunity under this program and seeks applications for projects for the construction, expansion, or modernization of commercial facilities for semiconductor materials and manufacturing equipment for which the capital investment falls below $300 million.</t>
  </si>
  <si>
    <t>Defense Sciences Office (DSO) Office-wide BAA</t>
  </si>
  <si>
    <t>09/26/2024</t>
  </si>
  <si>
    <t>The mission of the Defense Advanced Research Projects Agency (DARPA) Defense Sciences Office (DSO) is to identify and create the next generation of scientific discovery to fuel innovation throughout the Agency and beyond. DSO serves as “DARPA’s DARPA” by developing and executing an aggressive and forward leaning portfolio that expands the art of the possible across a broad set of technical areas. DSO aims to create strategic surprise advantage for the DoD by pushing science towards its fundamental limits. We look to prevent technological surprise by understanding the path commercial research and development (R&amp;D) is taking, anticipating that our adversaries will exploit available technology to develop new capabilities in the coming decades. In addition, the office looks for changes at the global scale and the impact such changes may have on our nation.</t>
  </si>
  <si>
    <t>Ideas Lab: Personalized Engineering Learning</t>
  </si>
  <si>
    <t>05/08/2024</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</si>
  <si>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Governments: The governing body of any Indian or Alaska Native tribe, band, nation, pueblo, village, or community that the Secretary of the Interior acknowledges to exist as an Indian tribe under the Federally Recognized Indian Tribe List Act of 1994 (25 U.S.C. 479a, et seq.)</t>
  </si>
  <si>
    <t xml:space="preserve">An Ideas Lab is an intensive meeting that brings together multiple diverse perspectives to focus on finding innovative cross-disciplinary solutions to a grand challenge problem (see below and PAPPG Chapter II.F.6. for more information about this type of proposal). The goal of the Personalized Engineering Learning Ideas Lab is to extend engineering education research to enable advanced personalization in pedagogy and assessment in a K-12 or higher education context. The following broad areas have been identified as possible avenues to advance knowledge: personalized engineering education, multimodal sensing for personalized learning systems and team-based personalized learning. This Ideas Lab aims to bring together experts from diverse scientific, engineering and education backgrounds to develop innovative technologies and solutions to achieve personalized learning for engineering education.
This Ideas Lab is organized by the Office of Emerging Frontiers and Multidisciplinary Activities (EFMA), the Division of Engineering Education and Centers (EEC), and the Division of Civil, Mechanical and Manufacturing Innovation in the Directorate for Engineering (ENG); the Division of Information and Intelligent Systems (IIS) in the Directorate for Computer and Information Science and Engineering (CISE); the Division of Behavioral and Cognitive Sciences in the Directorate for Social, Behavioral and Economic Sciences (SBE); the Division of Graduate Education, the Division of Research on Learning in Formal and Informal Settings, and the Division of Undergraduate Education in the Directorate for STEM Education (EDU); and the Division of Translational Impacts in the Directorate for Technology, Innovation and Partnerships (TIP).
</t>
  </si>
  <si>
    <t>23-623</t>
  </si>
  <si>
    <t>Competition for the Management of Operation and Maintenance of the National Geophysical Facility</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</si>
  <si>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Principal Investigator (PI) must be an employee of the proposing organization.</t>
  </si>
  <si>
    <t>The National Science Foundation (NSF) is soliciting proposals for managing the operation and maintenance of the National Geophysical Facility (hereafter referred to as NGF) an NSF-funded major facility. The NGF is designed to enable the research community to ask, and address, questions about a variety of Earth processes from local to global scales. NGF will operate global and regional networks of sensors; provide a lending library of instrumentation and support services to enable PI-led field experiments; support archiving, quality control, and delivery of geophysical data and data product development; and provide education, outreach, workforce development, and community engagement activities that serve a wide range of audiences. NGF will be a single facility, with a single operator that will succeed NSF’s current geophysical facilities, the Seismological Facility for the Advancement of GEoscience (SAGE) and the Geodetic Facility for the Advancement of GEoscience (GAGE). The award recipient will work closely with NSF and the scientific community to ensure that NGF capabilities support, and advance, Earth Sciences and related disciplines. In cooperation with NSF, and within available resources, the recipient will plan and execute a viable, coherent, and inclusive program to: (1) streamline the management and operations of existing geophysical facility capabilities into one consolidated geophysical facility; (2) enhance existing facility capabilities in instrumentation, data services and cyberinfrastructure; and (3) implement a bold vision to broaden participation and foster a culture of equity and inclusion in the Earth Sciences and related disciplines. The NSF Division of Earth Sciences (EAR) in the Directorate for Geosciences (GEO) has primary responsibility for the programmatic oversight of NGF and activities will be coordinated with the Division of Ocean Sciences (OCE), Division of Atmospheric and Geospace Sciences (AGS), and Office of Polar Programs (OPP). A single award will be made as a cooperative agreement with a duration of five years. NSF may renew the award for an additional five years, subject to availability of funds, the recipient's satisfactory performance, and review of a cost proposal for the second 5-year period. NSF’s decision will be informed by the National Science Board Statement on Recompetition of Major Facilities (</t>
  </si>
  <si>
    <t>Mathematical and Physical Sciences Ascending Faculty Catalyst Awards</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</si>
  <si>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Only prior recipients of MPS-Ascend Postdoc Fellowships (those awarded under NSF 21-573, NSF 22-501, or NSF 23-501) who completed no less than 12 months as an MPS-Ascend Postdoc Fellow, are eligible for MPS-Ascend Faculty Catalyst Awards.
Applications for MPS-Ascend Faculty Catalyst award are accepted by invitation extended by the Program Director who manages or is cognizant of their MPS-Ascend Postdoc Fellowship award. The invitation to apply for theMPS-Ascend Faculty Catalyst award can be extended by themanaging or cognizant Program Director of the MPS-Ascend Postdoc Fellowship Award only after theMPS-Ascend Postdoc Fellows contacted and communicated with them.
Invited MPS-Ascend Faculty Catalyst proposals must be received no more than 12 months after the close of the MPS-Ascend Postdoc Fellowship, and no more than six months after the start of the first tenure-track appointment of the applicant at an Institution of Higher Education (IHE).
Hence, it is strongly advised that MPS-Ascend Postdoc Fellows contact their managing or cognizant Program Director as soon as they accept the offer of the tenure-track appointment.</t>
  </si>
  <si>
    <t xml:space="preserve">The purpose of the Mathematical and Physical Sciences Ascending Faculty Catalyst Awards (MPS-Ascend Faculty Catalyst Awards, MPS-AFCA) is to support successful MPS-Ascending Postdoctoral Research Fellows (MPS-Ascend Fellows) as they transition into tenure track (or equivalent) faculty positions at Institutions of Higher Education (IHE) inany scientific area within the purview of the five MPS Divisions: the Divisions of Astronomical Sciences (AST), Chemistry (CHE), Materials Research (DMR), Mathematical Sciences (DMS), and Physics (PHY).The program is intended to support these investigators of significant potential by providing them with resources for research and broadening participation activities that are in addition to initial resources typically provided through institutional start-up packages.This support is strategically designed to enable their continued scientific contributions and their exemplary leadership in the area of broadening participation. MPS-Ascend Postdoc Fellows are invited to apply for an MPS-Ascend Faculty Catalyst Award after consultation with the managing or cognizant </t>
  </si>
  <si>
    <t>Research in the Formation of Engineers</t>
  </si>
  <si>
    <t>The NSF Engineering Directorate (ENG) has launched a multi-year initiative, theProfessional Formation of Engineers, to create and support an innovative and inclusive engineering profession for the 21</t>
  </si>
  <si>
    <t>DOI-USGS1</t>
  </si>
  <si>
    <t>Geological Survey</t>
  </si>
  <si>
    <t>ED</t>
  </si>
  <si>
    <t>Department of Education</t>
  </si>
  <si>
    <t>NASA-JSC</t>
  </si>
  <si>
    <t>NASA Johnson Space Center</t>
  </si>
  <si>
    <t>Unrestricted (i.e., open to any type of entity above), subject to any clarification in text field entitled "Additional Information on Eligibility"
All categories of U.S. institutions are eligible to submit proposals in response to this NRA (see solicitation for details). NASA's policy regarding non-U.S. organizations is to conduct research on a cooperative, no exchange of funds basis (see solicitation for details). Proposers must be affiliated with an institution at https://nspires.nasaprs.com.</t>
  </si>
  <si>
    <t>FY 2024 Continuation of Solicitation for the Office of Science Financial Assistance Program</t>
  </si>
  <si>
    <t>09/30/2024</t>
  </si>
  <si>
    <t>Cooperative Research Units Program Department of the Interior Geological Survey</t>
  </si>
  <si>
    <t>07/24/2024</t>
  </si>
  <si>
    <t>Others (see text field entitled "Additional Information on Eligibility" for clarification)
Only CRU Cooperating Universities are eligible to apply to the RWO component of the Cooperative Research UnitProgram pursuant to the Cooperative Research Unit Act (Public Law 86-686).</t>
  </si>
  <si>
    <t>The Cooperative Research Units (CRU) Program is a unique collaborative relationship between States, Universities, the Federal government and a non-profit organization. The program is comprised of 440 states. Since the original nine Units were established in the 1930s, additional Units were established by Congress at specified universities. The 41 units in the program are jointly supported by the US Geological Survey, Host Universities, State Natural Resource Agencies, Wildlife Management Institute, and the US Fish and Wildlife Service. </t>
  </si>
  <si>
    <t>2024 Human Exploration Research Opportunities (HERO) Overview</t>
  </si>
  <si>
    <t>NASA Human Exploration Research Opportunities (HERO) Overview Released</t>
  </si>
  <si>
    <t>Intrinsic Cognitive Security (ICS)</t>
  </si>
  <si>
    <t>Apr 12, 2024 12:00:00 AM EDT</t>
  </si>
  <si>
    <t>All responsible sources capable of satisfying the Government's needs may submit a proposal that shall be considered by DARPA.  See the Eligibility Information section of the BAA for more information.</t>
  </si>
  <si>
    <t>The ICS program develops computational science to build tactical mixed reality systems that protect against cognitive attack. The core technical hypothesis of the program is that formal methods can be extended with cognitive guarantees and models to protect mixed reality users from cognitive attack.</t>
  </si>
  <si>
    <t>DARPAâ€™s Strategic Technology Office (STO) is seeking innovative ideas and disruptive
technologies that provide the U.S. military and national security leaders trusted, disruptive
capabilities to win in all physical domains (Air, Space, Sea, and Land) and across the spectrum
of competition, from deterrence to high-end peer combat. STO seeks to carry out DARPAâ€™s
mission of creating high-risk, high-reward â€œbreakthroughâ€ technologies with a focus on
ambitious, difficult, and revolutionary projects that achieve significant changes or fundamental
shifts in technical capabilities and give our warfighters new ways to fight. STO will develop and
deliver solutions at a speed and scale to be operationally relevant in a relatively short time, just a
few years, from the initiation of the project to proof of concept.
STO is a â€œsystems office,â€ seeking to create new â€œproof-of-conceptâ€ mission systems. Its goals
are to develop and demonstrate new capabilities that expand what is technically possible.</t>
  </si>
  <si>
    <t>Feb 05, 2024 12:00:00 AM EST</t>
  </si>
  <si>
    <t>Joint Center of Excellence for Advanced Materials Research</t>
  </si>
  <si>
    <t>DOT-FAA-FAA COE-FAA JAMS</t>
  </si>
  <si>
    <t>FAA-COE-JAMS</t>
  </si>
  <si>
    <t>Member universities of the COE can apply.</t>
  </si>
  <si>
    <t>The Joint Center of Excellence (COE) for Advanced Materials (JAMS) was established in January 2004 to assist in ensuring the safe and reliable application of comÂ­posites and advanced materials to commercial aircraft. The Center is a joint effort of the Center of ExcelÂ­lence for Composite and Advanced Materials (CECAM) led by WichÂ­ita State University and the Center of Excellence for Advanced MateÂ­rials in Transport Aircraft StrucÂ­tures (AMTAS) led by the UniverÂ­sity of Washington. The COE is a leader in international coordinaÂ­tion of research, development, and standardization for structures conÂ­structed from these new materials.The goal of this joint cenÂ­ter is to create a cost-sharing academic, inÂ­dustrial, and governmental partÂ­nership. The members are forging a union between the public sector, the private sector and academic inÂ­stitutions to create a world-class capability to identify solutions for existing and potential advanced materials and structures issues.The focus of this partnership is the research, engineering and deÂ­velopment of information used to assure safety and standardize cerÂ­tification of existing and emergÂ­ing structural applications of comÂ­posites and advanced materials. Specifically, projects include the evaluation of past applications, performance of applied research and the development of standard engineering practices.&amp;nbsp;This Joint Center of Excellence, working with industry and government, also plays an important role in technology transfer, training, and continuing education for the aircraft industry and regulators.Research Areas:Damage Tolerance of Advanced Composite StructuresDurability of Adhesively Bonded Joints (Composite and Hybrid)Metal &amp;amp; Non-Metal Based Additive Manufacturing TechnologiesCrashworthiness of Composite Airframes and Seating SystemsEnvironmental and Aging Effects on In- Service Composite StructuresLightning Strikes on Composite AirframesNew material systems and innovative production technologiesMaintenance and Inspection of Composite Structures&amp;nbsp;</t>
  </si>
  <si>
    <t>2023-2026 Accelerated Innovation Deployment (AID) Demonstration</t>
  </si>
  <si>
    <t>DOT-FHWA</t>
  </si>
  <si>
    <t xml:space="preserve">DOT Federal Highway Administration </t>
  </si>
  <si>
    <t>Entities eligible to apply are State departments of transportation (State DOT), Federal Land Management Agencies (FLMA), and Tribal governments. Consistent with other FHWA funding provided to tribes, federally recognized tribes identified on the list of &amp;ldquo;Indian Entities Recognized and Eligible to Receive Services from the Bureau of Indian Affairs&amp;rdquo; (87 FR 4636) are eligible to apply. Metropolitan planning organizations and local governments must apply through the State DOT as a subrecipient.</t>
  </si>
  <si>
    <t>The FHWA continues the Accelerated Innovation Deployment (AID) Demonstration established under 23 United States Code (U.S.C.) 503(c) within the Technology and Innovation Deployment Program (TIDP) to implement accelerated innovation deployment. The AID Demonstration provides incentive funding for any project activities eligible for assistance under title 23, U.S.C. in any phase of a highway transportation project between project planning and project delivery, including planning, financing, operation, structures, materials, pavements, environment, and construction that address the TIDP goals. This Notice of Funding Opportunity (693JJ324NF-AIDDP) requests grant applications during the identified solicitation period, provides selection criteria, lists application requirements, and describes the evaluation process.&amp;nbsp;This is a multiyear funding opportunity; please see the Key Dates - Attachment A of this notice for deadlines.&amp;nbsp;</t>
  </si>
  <si>
    <t>*Who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As of the date the proposal is submitted, any PI, co-PI, or other senior project personnel must hold either:
&amp;amp;middot; a tenured or tenure-track position, or
&amp;amp;middot; a primary, full-time, paid appointment in a research or teaching position
at a US-based campus of an organization eligible to submit to this solicitation (see above), with exceptions granted for family or medical leave, as determined by the submitting organization. Individuals with primary appointments at for-profit non-academic organizations or at overseas branch campuses of U.S. institutions of higher education are not eligible.
Proposals from Minority Serving Institutions (MSIs) are particularly encouraged.</t>
  </si>
  <si>
    <t>In today's increasingly networked, distributed, and asynchronous world, cybersecurity involves hardware, software, networks, data, people, and integration with the physical world. Society's overwhelming reliance on this complex cyberspace, however, has exposed its fragility and vulnerabilities that defy existing cyber-defense measures; corporations, agencies, national infrastructure, and individuals continue to suffer cyber-attacks. Achieving a truly secure cyberspace requires addressing both challenging scientific and engineering problems involving many components of a system, and vulnerabilities that stem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
The goals of the SaTC program are aligned with the National Science and Technology Council's (NSTC) Federal Cybersecurity Research and Development Strategic Plan (RDSP) and National Privacy Research Strategy (NPRS) to protect and preserve the growing social and economic benefits of cyber systems while ensuring security and privacy. The RDSP identified six areas critical to successful cybersecurity research and development: (1) scientific foundations; (2) risk management; (3) human aspects; (4) transitioning successful research into practice; (5) workforce development; and (6) enhancing the research infrastructure. The NPRS, which complements the RDSP, identifies a framework for privacy research, anchored in characterizing privacy expectations, understanding privacy violations, engineering privacy-protecting systems, and recovering from privacy violations. In alignment with the objectives in both strategic plans, the SaTC program takes an multidisciplinary, comprehensive, and holistic approach to cybersecurity research, development, and education, and encourages the transition of promising research ideas into practice. SaTC goals are also aligned with the Roadmap for Researchers on Priorities Related to Information Integrity Research and Development, the National Strategy to Advance Privacy-Preserving Data Sharing and Analytics, and the National Cyber Workforce and Education Strategy.
The SaTC program welcomes proposals that address cybersecurity and privacy, drawing on expertise in one or more of these areas: computing, communication, and information sciences; engineering; education; mathematics; statistics; and social, behavioral, and economic sciences. Proposals that advance the field of cybersecurity and privacy within a single discipline or interdisciplinary efforts that span multiple disciplines are both welcome.
The SaTC program spans the interests of NSF's Directorates for Computer and Information Science and Engineering (CISE), Engineering (ENG), Mathematical and Physical Sciences (MPS), Social, Behavioral and Economic Sciences (SBE), and STEM Education (EDU). Proposals must be submitted pursuant to one of the following designations, each of which may have additional restrictions and administrative obligations as specified in this program solicitation.
&amp;middot; CORE: This designation is the main focus of the multidisciplinary SaTC research program.
&amp;middot; EDU: The Education (EDU) designation is used to label proposals focusing on cybersecurity and privacy education and training.
&amp;middot; TTP: The Transition to Practice (TTP) designation will be used to label proposals that are focused exclusively on transitioning existing research results to practice.
CORE and TTP proposals may be submitted in one of the following project size classes:
&amp;middot; Small projects: up to $600,000 in total budget, with durations of up to three years; and
&amp;middot; Medium projects: $600,001 to $1,200,000 in total budget, with durations of up to four years.
EDU proposals are limited to $400,000 in total budget, with durations of up to three years. EDU proposals that demonstrate a collaboration, reflected in the PI, co-PI, and/or Senior Personnel composition, between a cybersecurity subject matter expert (researcher or practitioner) and an education researcher may request up to $500,000 for three years.</t>
  </si>
  <si>
    <t>Mar 07, 2024 12:00:00 AM EST</t>
  </si>
  <si>
    <t>SPURRING PROJECTS TO ADVANCE ENERGY RESEARCH AND KNOWLEDGE SWIFTLY (SPARKS)</t>
  </si>
  <si>
    <t>See Section III.A of the FOA</t>
  </si>
  <si>
    <t>To obtain a copy of the Funding Opportunity Announcement (FOA) please go to the ARPA-E website at https://arpa-e-foa.energy.gov.&amp;nbsp;To apply to this FOA, Applicants must register with and submit application materials through ARPA-E eXCHANGE (https://arpa-e-foa.energy.gov/Registration.aspx).&amp;nbsp;For detailed guidance on using ARPA-E eXCHANGE, please refer to the ARPA-E eXCHANGE User Guide (https://arpa-e-foa.energy.gov/Manuals.aspx).&amp;nbsp;ARPA-E will not review or consider concept papers submitted through other means. For problems with ARPA-E eXCHANGE, email ExchangeHelp@hq.doe.gov (with FOA name and number in the subject line). 
Questions about this FOA? Check the Frequently Asked Questions available at http://arpa-e.energy.gov/faq.&amp;nbsp;For questions that have not already been answered, email ARPA-E-CO@hq.doe.gov.&amp;nbsp; 
Agency Overview:[BM1]&amp;nbsp; 
&amp;nbsp; 
The Advanced Research Projects Agency â€“ Energy (ARPA-E), an organization within the Department of Energy (DOE), is chartered by Congress in the America COMPETES Act of 2007 (P.L. 110-69), as amended by the America COMPETES Reauthorization Act of 2010 (P.L. 111-358), as further amended by the Energy Act of 2020 (P.L. 116-260) to: 
â€œ(A) to enhance the economic and energy security of the United States through the development of energy technologies thatâ€” 
(i) reduce imports of energy from foreign sources; 
(ii) reduce energy-related emissions, including greenhouse gases;  
(iii) improve the energy efficiency of all economic sectors;  
(iv) provide transformative solutions to improve the management, clean-up, and disposal of radioactive waste and spent nuclear fuel; and 
(v) improve the resilience, reliability, and security of infrastructure to produce, deliver, and store energy; and 
(B) to ensure that the United States maintains a technological lead in developing and deploying advanced energy technologies.â€ 
&amp;nbsp; 
ARPA-E issues this Funding Opportunity Announcement (FOA) under its authorizing statute codified at 42 U.S.C. Â§ 16538.&amp;nbsp;The FOA and any awards made under this FOA are subject to 2 C.F.R. Part 200 as supplemented by 2 C.F.R. Part 910.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ARPA-E funds research on and the development of transformative science and&amp;nbsp;technology solutions to address the energy and environmental missions of the Department.&amp;nbsp;The agency focuses on technologies that can be meaningfully advanced with a modest investment over a defined period of time in order to catalyze the translation from scientific discovery to early-stage technology.&amp;nbsp;For the latest news and information about ARPA-E, its programs and the research projects currently supported, see:&amp;nbsp;http://arpa-e.energy.gov/. 
&amp;nbsp; 
ARPA-E funds transformational research. Existing energy technologies generally progress on established â€œlearning curvesâ€ where refinements to a technology and the economies of scale that accrue as manufacturing and distribution develop drive down the cost/performance metric in a gradual fashion. This continual improvement of a technology is important to its increased commercial deployment and is appropriately the focus of the private sector or the applied technology offices within DOE. By contrast, ARPA-E supports transformative research that has the potential to create fundamentally new learning curves. ARPA-E technology projects typically start with cost/performance estimates well above the level of an incumbent technology. Given the high risk inherent in these projects, many will fail to progress, but some may succeed in generating a new learning curve with a projected cost/performance metric that is significantly lower than that of the incumbent technology. 
&amp;nbsp; 
ARPA-E funds technology with the potential to be disruptive in the marketplace. The mere creation of a new learning curve does not ensure market penetration. Rather, the ultimate value of a technology is determined by the marketplace, and impactful technologies ultimately become disruptive â€“ that is, they are widely adopted and displace existing technologies from the marketplace or create entirely new markets. ARPA-E understands that definitive proof of market disruption takes time, particularly for energy technologies. Therefore, ARPA-E funds the development of technologies that, if technically successful, have clear disruptive potential, e.g., by demonstrating capability for manufacturing at competitive cost and deployment at scale. 
&amp;nbsp; 
ARPA-E funds applied research and development. The Office of Management and Budget defines â€œapplied researchâ€ as an â€œoriginal investigation undertaken in order to acquire new knowledgeâ€¦directed primarily towards a specific practical aim or objectiveâ€ and defines â€œexperimental developmentâ€ as â€œcreative and systematic work, drawing on knowledge gained from research and practical experience, which is directed at producing new products or processes or improving existing products or processes.â€ (http://science.energy.gov/). Office of Science national scientific user facilities (http://science.energy.gov/user-facilities/) are open to all researchers, including ARPA-E Applicants and awardees. These facilities provide advanced tools of modern science including accelerators, colliders, supercomputers, light sources and neutron sources, as well as facilities for studying the nanoworld, the environment, and the atmosphere. Projects focused on early-stage R&amp;amp;D for the improvement of technology along defined roadmaps may be more appropriate for support through the DOE applied energy offices including: the Office of Energy Efficiency and Renewable Energy (http://www.eere.energy.gov/), the Office of Fossil Energy (http://fossil.energy.gov/), the Office of Nuclear Energy (http://www.energy.gov/ne/office-nuclear-energy), and the Office of Electricity Delivery and Energy Reliability (http://energy.gov/oe/office-electricity-delivery-and-energy-reliability).&amp;nbsp;Applicants interested in receiving financial assistance for basic research (defined by the Office of Management and Budget as â€œexperimental or theoretical work undertaken primarily to acquire new knowledge of the underlying foundations of phenomena and observable factsâ€)&amp;nbsp;should contact the DOEâ€™s Office of Science (http://science.energy.gov/). Office of Science national scientific user facilities (http://science.energy.gov/user-facilities/) are open to all researchers, including ARPA-E Applicants and awardees. These facilities provide advanced tools of modern science including accelerators, colliders, supercomputers, light sources and neutron sources, as well as facilities for studying the nanoworld, the environment, and the atmosphere. Projects focused on early-stage R&amp;amp;D for the improvement of technology along defined roadmaps may be more appropriate for support through the DOE applied energy offices including: the Office of Energy Efficiency and Renewable Energy (http://www.eere.energy.gov/), the Office of Fossil Energy (http://fossil.energy.gov/), the Office of Nuclear Energy (http://www.energy.gov/ne/office-nuclear-energy), and the Office of Electricity Delivery and Energy Reliability (http://energy.gov/oe/office-electricity-delivery-and-energy-reliability).  
&amp;nbsp;Program Overview  
&amp;nbsp; 
This announcement is purposely broad in scope to encourage the submission of the most innovative ideas in energy technology to support transformative energy R&amp;amp;D that complements ARPA-Eâ€™s primary mechanism, which is through the solicitation of research projects in focused technology programs.ARPA-Eâ€™s focused programs target specific areas of technology that the agency has identified through extensive interaction with the appropriate external stakeholders. The focused programs have significant potential impact on one or more of the statutory goals described in Section I.A of the FOA. Awards made in response to the solicitation for focused programs support the aggressive technical targets established in that solicitation. Taken in total, ARPA-Eâ€™s focused programs cover a broad swath of energy technologies and applications. 
&amp;nbsp; 
However, ARPA-E wants to ensure that there are opportunities to support innovative energy R&amp;amp;D in new and emerging fields that either fall outside of the focused technology programs or that develop after those programs have closed. Within this general framework, ARPA-E seeks transformative ideas that enable the most efficient, economical, sustainable, and environmentally benign utilization of energy. Useful energy can take many forms, including radiant energy from lights, electrical energy for appliances, thermal energy to heat homes, mechanical energy for transportation, chemical energy in the form of food, and energy used to manufacture products. 
To view the FOA in its entirety, please visit https://arpa-e-foa.energy.gov. 
 &amp;nbsp;</t>
  </si>
  <si>
    <t>GEOSPATIAL INTELLIGENCE PROCESSING AND EXPLOITATION (GeoPEX)</t>
  </si>
  <si>
    <t>Sep 30, 2026 12:00:00 AM EDT</t>
  </si>
  <si>
    <t>Others (see text field entitled "Additional Information on Eligibility" for clarification) For full opportunity announcement reference the SAM.gov link under Additional Information.PLEASE NOTE: No submissions through Grants.gov will be accepted. All submissions must follow SAM.gov instructions.</t>
  </si>
  <si>
    <t>PLEASE NOTE:No submissions through Grants.gov will be accepted. All submissions must follow SAM.gov instructions.For full opportunity announcement reference the SAM.gov link.</t>
  </si>
  <si>
    <t>Minerva Research Initiative - University Research</t>
  </si>
  <si>
    <t>Apr 02, 2024 12:00:00 AM EDT</t>
  </si>
  <si>
    <t>Others (see text field entitled "Additional Information on Eligibility" for clarification)
Additional Information on Eligibility:	All responsible sources from academia, including DoD institutions of higher education and foreign universities, may submit applications under this NFO. Historically Black Colleges and Universities (HBCUs), Minority Institutions (MIs), and Tribal Colleges and Universities (TCUs) are encouraged to apply. No portion of this NFO, however, will be set aside for HBCU, MI, or TCU participation. Teams are encouraged and may submit proposals applications in any and all areas. Non-profit institutions and commercial entities may be included on a university-led team as subawardees only, receiving funding for their efforts accordingly. Federally Funded Research  Development Centers (FFRDCs), including Department of Energy National Laboratories, are not eligible to receive awards under this NFO. However, teaming arrangements between FFRDCs and eligible principal applicants are allowed provided they are permitted under the sponsoring agreement between the Government and the specific FFRDC. Grants to a university may be terminated if the Principal Investigator (PI) severs connections with the university or is unable to continue active participation in the research. Grants to a university may also be terminated if the university severs connections with the PI. Number of PIs: A single PI must be designated on the application to serve as administrative and technical project lead. There is no restriction on the number of additional key research personnel who can be included on a single application, but each position should be justified by the scope and focus of the research.</t>
  </si>
  <si>
    <t>Please see the Related Documents tab for the full NFO announcementThe Minerva Research Initiative (Minerva) emphasizes questions of strategic importance to U.S. national security policy. It seeks to increase the Department’s intellectual capital in the social sciences and improve its ability to address future challenges and build bridges between the Department and the social science community. Minerva brings together universities and other research institutions around the world and supports multidisciplinary and cross-institutional projects addressing specific interest areas determined by the Department of Defense. The Minerva program aims to promote research in specific areas of social science and to promote a candid and constructive relationship between DoD and the social science academic community.The Minerva Research Initiative competition is for research related to eight (8) topics listed below. Innovative white papers and applications related to these research areas are highly encouraged. Detailed descriptions of the interest areas—which are intended to provide a frame of reference and are not meant to be restrictive—can be found in Appendix B: Minerva Research Topics of Interest in the main NFO document.Topic 1: Societal Cohesion in CrisisTopic 2: Considering Societal Resilience at Multiple ScalesTopic 3: Sociotechnical Adaptation to Climate, Food, and Water StressTopic 4: Social Impact of Technological ChangeTopic 5: Parasocial Relationships, Social Media, and RadicalizationTopic 6: Temporal Orientation and Strategic ConsiderationsTopic 7: Evolving Contexts of DeterrenceTopic 8: War Termination Processes and ProspectsKey Dates:White Paper questions to Interest Area POCs: 5 January 2024White Papers Due: 16 January 2024 at 1500 EasternNotification of White Paper Evaluations*: 9 February 2024Full Application questions to Interest Area POCs: 26 March 2024Full Applications Due: 2 April 2024 at 1500 EasternNotification of Selection for Award*: 13 May 2024Tentative Award Date*: 14 August 2024*Dates are estimated as of the date this NFO is published on Grants.gov</t>
  </si>
  <si>
    <t>Bilateral Academic Research Initiative (BARI) Program  Research Council Of Finland (AKA)</t>
  </si>
  <si>
    <t>May 03, 2024 12:00:00 AM EDT</t>
  </si>
  <si>
    <t>Others (see text field entitled "Additional Information on Eligibility" for clarification) The BARI competition is open only to teams comprised of at least one (1) US institution of Higher Education (IHE) as defined in 20 U.S.C. 1001 with a degree granting program in science or engineering (US University); and at least one (1) Finnish Research Institution via which the funding is paid. In addition to a doctoral degree, the Finland PI of the proposed project must also have other significant scientific merits. US DoD Laboratories and Federally Funded Research and Development Centers (FFRDCs) are not allowed to receive funds directly or via sub-awards.</t>
  </si>
  <si>
    <t>Please see the Related Documents tab for the full NFO announcementThis NFO is for the Bilateral Academic Research Initiative Pilot Program (BARI), which is jointly sponsored by the US Department of Defense (DoD), Office of the Secretary of Defense (OSD), and the Research Council of Finland (AKA). The BARI program addresses high risk basic research as an international collaboration. This research should attempt to provide the scientific foundation towards the design and development of future and ubiquitous information networks that rely on extreme-scale devices, distributed intelligence, and network complexity, and include cognitive and social concepts to inform the technological choices. The goal of this program is to produce significant scientific breakthroughs and knowledge that will be critical steps in enabling revolutions in communication and information technology on a large scale.The Department of Defense (DoD) agencies and AKA involved in this program reserve the right to select one or none of the proposals submitted in response to this announcement for award. The participating DoD agencies and AKA will provide no funding for direct reimbursement of proposal development costs.The program focus is Future Information Architecture for IoT.Key Dates:Questions Regarding White Papers: 15 January 2024* at 1600 Eastern TimeWhite Papers Due: 12 February 2024* at 1600 Eastern TimeInvitation to Submit Full Proposal: 15 March 2024**Questions Regarding Full Proposals: 15 April 2024* at 1600 Eastern TimeFull Proposals Due: 3 May 2024 at 1600 Eastern TimeAward Notification (Tentative): 7 June 2024**Estimated Award Date (USA): 1 October 2024**Estimated Award Date (Finland): 1 October 2024*** Questions submitted after the QA deadline as noted in Key Dates section above may not be answered. The due date for submission of the application will not be extended.** These dates are estimates as of the date of this announcement.</t>
  </si>
  <si>
    <t>DE-FOA-0003155 Critical Materials Accelerator</t>
  </si>
  <si>
    <t>Mar 22, 2024 12:00:00 AM EDT</t>
  </si>
  <si>
    <t>Unrestricted (i.e., open to any type of entity above), subject to any clarification in text field entitled "Additional Information on Eligibility"
Additional Information on Eligibility:	See Section III.A.i of the FOA document in eXCHANGE</t>
  </si>
  <si>
    <t>The Critical Materials Accelerator aims to validate and prototype technologies and processes that address critical materials challenges by developing alternatives, diversifying and expanding supply, increasing manufacturing and material efficiency, and establishing a circular economy. The Accelerator intends to speed up the adoption of innovation while promoting safe, sustainable, economic, and environmentally just solutions to meet current and future critical materials supply chain needs.
This FOA solicits proposals that advance innovation to realize the Department’s critical minerals and materials vision of a reliable, resilient, affordable, diverse, sustainable, and secure domestic supply chains for the clean energy economy. Projects funded under this FOA will de-risk innovation and mature technology development in partnership with industry to reduce demand through alternative materials or technologies, extend the lifetime of critical materials, and advance secure and sustainable critical materials manufacturing technologies. Each topic area of the FOA addresses priority technologies and supply chain gaps identified by the Critical Materials Collaborative.
Topics include:
Topic 1 – Use of Magnets with Reduced Critical Materials Content
Topic 2 – Improved Unit Operations of Processing and Manufacturing of Critical Materials
Topic 3 – Critical Material Recovery from Scrap and Post-Consumer Products
Topic 4 – Reduced Critical Material Demand for Clean Energy Technologies
MOD 0001: Revised Section III.B. Cost Sharing.
The eXCHANGE system is currently designed to enforce hard deadlines for Concept Paper and Full Application submissions. The APPLY and SUBMIT buttons automatically disable at the defined submission deadlines. The intention of this design is to consistently enforce a standard deadline for all applicants.
Applicants that experience issues with submissions PRIOR to the FOA Deadline: In the event that an Applicant experiences technical difficulties with a submission, the Applicant should contact the eXCHANGE helpdesk for assistance (exchangehelp@hq.doe.gov). The eXCHANGE helpdesk and/or the EERE eXCHANGE System Administrators (eXCHANGE@ee.doe.gov) will assist the Applicant in resolving all issues.
Applicants that experience issues with submissions that result in a late submission: In the event that an Applicant experiences technical difficulties with a submission that results in a late submission, the Applicant should contact the eXCHANGE helpdesk for assistance (exchangehelp@hq.doe.gov). The eXCHANGE helpdesk and/or the EERE eXCHANGE System Administrators (eXCHANGE@ee.doe.gov) will assist the Applicant in resolving all issues (including finalizing the submission on behalf of, and with the Applicant's concurrence). DOE will only accept late applications when the Applicant has a) encountered technical difficulties beyond their control; b) has contacted the eXCHANGE helpdesk for assistance; and c) has submitted the application through eXCHANGE within 24 hours of the FOA's posted deadline.</t>
  </si>
  <si>
    <t>Bipartisan Infrastructure Law (BIL) Battery Materials Processing and Battery Manufacturing</t>
  </si>
  <si>
    <t>Mar 19, 2024 12:00:00 AM EDT</t>
  </si>
  <si>
    <t>Unrestricted (i.e., open to any type of entity above), subject to any clarification in text field entitled "Additional Information on Eligibility" Refer to Section III of the FOA for complete details on eligibility</t>
  </si>
  <si>
    <t>Funding Opportunity Announcement No. DE-FOA-0003099
The Office of Manufacturing and Energy Supply Chains (MESC) is issuing a Funding Opportunity Announcement (FOA) entitled Bipartisan Infrastructure Law 40207(b) Battery Materials Processing and 40207(c) Battery Manufacturing Grants Round II. Projects awarded under this FOA will be funded, in whole or in part, with funds appropriated by the Infrastructure Investment and Jobs Act, also more commonly known as the Bipartisan Infrastructure Law (BIL).</t>
  </si>
  <si>
    <t>USGS Non-Competitive Assistance FY 2024 - National Grants Branch</t>
  </si>
  <si>
    <t>Sep 20, 2024 12:00:00 AM EDT</t>
  </si>
  <si>
    <t>Others (see text field entitled "Additional Information on Eligibility" for clarification) Notwithstanding the provisions of the Federal Grant and Cooperative Agreement Act of 1977 (31 U.S.C. 63016308), the United States Geological Survey is authorized to continue existing, and on and after November 10, 2003, to enter into new cooperative agreements directed towards a particular cooperator, in support of joint research and data collection activities with Federal, State, and academic partners funded by appropriations herein, including those that provide for space in cooperator facilities.</t>
  </si>
  <si>
    <t>To support research complementary to USGS program efforts in classification of the public lands and examination of the geological structure, water, mineral, and biological resources, and products of the national domain.</t>
  </si>
  <si>
    <t>FY 2024 Study of the U.S. Institutes for Secondary Educators</t>
  </si>
  <si>
    <t>DOS-ECA</t>
  </si>
  <si>
    <t>Bureau Of Educational and Cultural Affairs</t>
  </si>
  <si>
    <t>Private institutions of higher education
Public and State controlled institutions of higher education
Nonprofits having a 501(c)(3) status with the IRS, other than institutions of higher education
Others (see text field entitled "Additional Information on Eligibility" for clarification) Please see full announcement.</t>
  </si>
  <si>
    <t>The Study of the U.S. Branch (ECA/A/E/USS), Office of Academic Exchange Programs, Bureau of Educational and Cultural Affairs (ECA), invites proposal submissions from U.S. public and private academic and cultural institutions, exchange-of-persons, and other not-for-profit organizations meeting the provisions described in Internal Revenue Code section 26 USC 501(c)(3) (see section C.) Eligibility Information) for the design and implementation of three Study of the U.S. Institutes (SUSIs) for Secondary Educators to take place over the course of approximately five weeks in summer 2025. See details in the NOFO in section A.4.) Program Administration.The SUSIs for Secondary Educators will provide multinational groups of experienced secondary-level educators with a deeper understanding of U.S. society, education, culture, values, and institutions. The program will be designed to strengthen curricula and improve the quality of teaching about the United States in secondary schools and academic institutions abroad. Two of the Institutes will be for teachers; one Institute will be for secondary-level education administrators and other educational professionals, including, but not limited to, curriculum developers, ministry of education officials, teacher trainers, and textbook writers. Each Institute will have a four-week academic residency at a U.S. academic institution and a one-week integrated study tour that will expose the participants to a community (or multiple communities) representing a culture and/or region distinct from that of their academic residency. Each Institute will host approximately 20 participants, for a total of approximately 60 foreign secondary educators across three Institutes. More Information on the Institutes can be found in the NOFO in section A.4.) Program Administration.</t>
  </si>
  <si>
    <t>Unrestricted (i.e., open to any type of entity above), subject to any clarification in text field entitled "Additional Information on Eligibility"</t>
  </si>
  <si>
    <t>Earth System Model Development and Analysis</t>
  </si>
  <si>
    <t>Mar 21, 2024 12:00:00 AM EDT</t>
  </si>
  <si>
    <t>Unrestricted (i.e., open to any type of entity above), subject to any clarification in text field entitled "Additional Information on Eligibility" All types of domestic applicants are eligible to apply, except nonprofit organizations described in section 501(c)(4) of the Internal Revenue Code of 1986 that engaged in lobbying activities after December 31, 1995. Non-domestic institutions may be proposed as team member(s) in a multi-institutional team and may be proposed as subrecipients under another organizations application.Federally affiliated entities must adhere to the eligibility standards below:III.A.1. DOE/NNSA National LaboratoriesDOE/NNSA National Laboratories are not eligible to submit applications under this FOA but may be proposed as subrecipients under another organizations application. If recommended for funding as a proposed subrecipient, the value of the proposed subaward will be removed from the prime applicants award and will be provided to the laboratory through the DOE Field-Work Proposal System and work will be conducted under the laboratorys contract with DOE. No administrative provisions of this FOA will apply to the laboratory or any laboratory subcontractor. Additional instructions for securing authorization from the cognizant Contracting Officer are found in Section VIII of this FOA.For ESMD relevant applications, it is required to include one or more E3SM team member(s) as a collaborator(s), either funded or unfunded. This is due to the rigorous development and fast evolving nature of the E3SM, therefore a close collaboration would facilitate the coordination and ensure most impactful research outcome.III.A.2. Non-DOE/NNSA FFRDCsNon-DOE/NNSA FFRDCs are not eligible to submit applications under this FOA but may be proposed as subrecipients under another organizations application. If recommended for funding as a proposed subrecipient, the value of the proposed subaward may be removed from the prime applicants award and may be provided through an interagency agreement to the FFRDCs sponsoring Federal Agency. Additional instructions for securing authorization from the cognizant Contracting Officer are found in Section VIII of this FOA.III.A.3. Other Federal AgenciesOther Federal Agencies are not eligible to submit applications under this FOA but may be proposed as subrecipients under another organizations application. If recommended for funding as a proposed subrecipient, the value of the proposed subaward may be removed from the prime applicants award and may be provided through an interagency agreement.</t>
  </si>
  <si>
    <t>BER supports fundamental, interdisciplinary research to achieve a predictive systems-level understanding of Earth, environmental and biological systems. In particular, BER seeks to develop advanced mathematical methods and computational models for systems ranging from molecular to global scales and an ability to connect large and diverse datasets with models, which in turn enables more holistic and robust predictions of complex system behavior. More information on the BER program is available at https://www.energy.gov/science/ber/biological- and-environmental-research or https://science.osti.gov/ber.This FOA focuses on supporting research within two components of BER’s EESM activities (https://science.osti.gov/ber/Research/eessd/Earth-and-Environmental-System-Modeling) within the Earth and Environmental Systems Sciences Division (EESSD): Earth System Model Development (ESMD), andRegional and Global Modeling Analysis (RGMA). The ESMD component focuses primarily on further development of the Energy Exascale Earth System Model (E3SM), while the RGMA component focuses primarily on scientific analysis based on E3SM as well as other Earth system models. Together, these activities broadly focus on the development, evaluation, and use of regional and global integrated Earth system models, to understand the behaviors and interactions between Earth systems and energy-related activities. The EESSD Strategic Plan (available at: https://climatemodeling.science.energy.gov/earth-and-environmental-systems-sciences-division-strategic-plan) describes research priorities and scientific grand challenges supported by these modeling activities. Further descriptions of the ESMD and RGMA activities and the topical areas of the solicitation are included below. The three specific topical areas of the FOA are described after the ESMD and RGMA descriptions.</t>
  </si>
  <si>
    <t>Notice of Intent DE-FOA-0003232 to issue Funding Opportunity Announcement DE-FOA-0002614 titled Carbon Management (Round 5)</t>
  </si>
  <si>
    <t>Notice of Intent DE-FOA-0003232 to issue Funding Opportunity Announcement DE-FOA-0002614 titled Carbon Management (Round 5)In support of Executive Order 14008 (dated January 27, 2021), Tackling the Climate Crisis at Home and Abroad, and to further past decades of DOE-supported carbon management research, development and demonstration done in cooperation with industry and academia to solve climate change challenges, DOE-FECM anticipates issuing a Funding Opportunity Announcement (DE-FOA-0002614 Round 5), seeking applications for financial assistance awards that support research and development for a variety of carbon management technologies.</t>
  </si>
  <si>
    <t>Others (see text field entitled "Additional Information on Eligibility" for clarification) Proposers must be affiliated with an institution at nspires.nasaprs.com/ and, in general, NASA provides funding only to U.S. institutions. Organizations outside the U.S. that propose on the basis of a policy of no-exchange-of-funds; consult the NASA Proposers Guide (https://www.nasa.gov/general/grants-policy-and-compliance-team/ - section-2) for specific details. Some NRAs may be issued jointly with a non-U.S. organization, e.g., those concerning guest observing programs for jointly sponsored space science programs, that will contain additional special guidelines for non-U.S. participants. Also reference the Proposers Guide for special instructions for proposals from non-U.S. organizations that involve U.S. personnel for whom NASA support is requested.</t>
  </si>
  <si>
    <t>ROSES 2023: D.18 XRISM General Observer - Cycle 1</t>
  </si>
  <si>
    <t>Proposers must retrieve the instructions document (zip file) associated with the application package for this opportunity as there is at least one required form that must be attached to the submitted proposal package. 
﻿NOTICE: Amended December 12, 2023. This Amendment presents a new program element in ROSES-2023. Notices of intent are not requested, and proposals are due March 21, 2024. There are two types of proposals with different page limits, contents, and submission procedures: Type-1 Phase-1 proposals are due at 4:30 p.m. Eastern time via ARK/RPS whereas Type-2 proposals must be submitted by the proposing organization via NSPIRES by 11:59 pm. 
XRISM General Observer (GO) proposals, both Type-1 and Type-2, will be evaluated via dual-anonymous peer review. Proposals must be prepared following the guidelines in Section 2.1 or 2.2 and in the appropriate "….DAPR Instructions" document posted to the right. Due to the nature of the proposed investigations,XRISMGOproposals are not required to include an "Open Science and Data Management Plan". 
The National Aeronautics and Space Administration (NASA) Science Mission Directorate (SMD) released its annual omnibus Research Announcement (NRA), Research Opportunities in Space and Earth Sciences (ROSES) – 2023 (OMB Approval Number 2700-0092, CFDA Number 43.001) on February 14, 2023.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(Tables2and3), a table that provides a very top level summary of proposal contents (Table 1), and the full text of the ROSES-2023 "Summary of Solicitation", may all be found NSPIRES athttp://solicitation.nasaprs.com/ROSES2023.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Tables2or3of this NRA athttp://solicitation.nasaprs.com/ROSES2023table2andhttp://solicitation.nasaprs.com/ROSES2023table3,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inThe Lunar Data Analysis Program (NNH23ZDA001N-LDAP) one would followthe link to the NSPIRES page for that program elementand then to read the text of the call one would click on“C.8 Lunar Data Analysis (.pdf)”to download the text of the call. If one wanted to set it into the context of the goals, objectives and know the default rules for all elements within Appendix C, the planetary science division, one might download and read“C.1 Planetary Science Research Program Overview (.pdf)” from that same page.While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athttp://science.nasa.gov/researchers/sara/faqs. Questions concerning general ROSES-2023 policies and procedures may be directed to Max Bernstein, Lead for Research, Science Mission Directorate, atsara@nasa.gov,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at:http://science.nasa.gov/researchers/sara/program-officers-list. 
Not all program elements are known at the time of the release of ROSES. To be informed of new program elements or amendments to this NRA, proposers may subscribe to: (1) The SMD mailing lists (by logging in athttp://nspires.nasaprs.com and checking the appropriate boxes under "Account Management" and "Email Subscriptions"), (2) The ROSES-2023 blog feed for amendments, clarifications, and corrections to athttp://science.nasa.gov/researchers/sara/grant-solicitations/ROSES-2023, and (3) The ROSES-2023 due date Google calendars (one for each science division). Instructions are athttps://science.nasa.gov/researchers/sara/library-and-useful-links(link from the words due date calendar).</t>
  </si>
  <si>
    <t>2024 Dual Use Technology Development at Marshall Space Flight Center</t>
  </si>
  <si>
    <t>NASA-SFC</t>
  </si>
  <si>
    <t>NASA Marshall Space Flight Center</t>
  </si>
  <si>
    <t>Sep 30, 2024 12:00:00 AM EDT</t>
  </si>
  <si>
    <t>Independent school districts
Nonprofits having a 501(c)(3) status with the IRS, other than institutions of higher education
For profit organizations other than small businesses
Public and State controlled institutions of higher education
Small businesses
Nonprofits that do not have a 501(c)(3) status with the IRS, other than institutions of higher education
Private institutions of higher education</t>
  </si>
  <si>
    <t>The purpose of the 80MSFC24M0001 Cooperative Agreement Notice is to identify candidate technology partnerships with U.S. industry and academic/non-profit organizations that complement the technology development interests of MSFC, benefitting a wide range of users, ensuring the nation realizes the full economic value and societal benefit of these innovations. The goal is to support collaborative, resource-sharing projects where the NASA partner is developing a technology primarily for its own public purposes, and NASA can provide financial support or other assistance.
This CAN utilizes assistance listing 43.012 Space Technology, focusing on supporting entrepreneur, researcher, and innovator ideas to advance the commercial space sector and benefit future NASA missions. Awards are authorized by The National Aeronautics and Space Act of 1958, 51 U.S.C. § 20113(e), as amended, which includes “the preservation of the role of the United States as a leader in aeronautical and space science and technology and in the application thereof to the conduct of peaceful activities within and outside the atmosphere.”
Applicants are encourage to refer to Related Documents for the full 80MSFC24M0001 Cooperative Agreement Notice document and associated template files for Step-1 Package submission instructions and additional guidance.</t>
  </si>
  <si>
    <t>Collaborative Research in Computational Neuroscience</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</si>
  <si>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U.S. Department of Energy National Laboratories are eligible to submit proposals in response to this solicitation.;</t>
  </si>
  <si>
    <t>Computational neuroscience provides a theoretical foundation and a rich set of technical approaches for understanding the nervous system at all levels, building on the theory, methods, and findings of computer science, neuroscience, and numerous other disciplines to accelerate the understanding of nervous system structure and function, mechanisms underlying nervous system disorders, and computational strategies used by the nervous system.
Through the CRCNS program, the participating funding organizations support collaborative activities that span a broad spectrum of computational neuroscience research, as appropriate to the missions and strategic objectives of each agency.
Two classes of proposals will be considered in response to this solicitation:
Research Proposals describing collaborative research projects, and
Data Sharing Proposals to support sharing of data and other resources.
Domestic and international projects will be considered, including proposals seeking parallel international funding. As detailed in the solicitation, opportunities for parallel funding are available for bilateral US-German, US-French, US-Israeli, US-Japanese, and US-Spanish projects, and multilateral projects involving the United States and two or more CRCNS partner countries (see Section VIII of the solicitation for country-specific limitations). Collaborating PIs from outside of the United States are referred to Section VIII of this solicitation for further instructions from the appropriate partner funding agency.
Questions concerning a particular project's focus, direction, and relevance to a participating funding organization should be addressed to the appropriate person in the list of agency contacts in Section VIII of the solicitation.
NSF will coordinate and manage the review of proposals jointly with participating domestic and foreign funding organizations, through a joint panel review process used by all participating funders. Additional information is provided in Section VI of the solicitation.</t>
  </si>
  <si>
    <t>Mind, Machine and Motor Nexus</t>
  </si>
  <si>
    <t>The Mind, Machine and Motor Nexus (M3X) Program supports fundamental research that explores embodied reasoning as mediated by bidirectional sensorimotor interaction between human and synthetic actors. For the purposes of this program, embodiment is defined as the capacity to interact with physics-based environments. 
Interaction between human and synthetic actors is expanding in scale and scope across numerous fields and endeavors. Among these are areas where safety and performance are paramount, but also where ingenuity and risk-taking are essential to success. The M3X Program seeks to spur innovative and path-breaking work that can improve understanding of interaction between human and synthetic actors in a broad range of settings, while also exploring implications for the advancement of fundamental theory, foundational technologies, and meaningful applications. Successful submissions to the M3X program will therefore advance knowledge by exploring the convergence of human and synthetic actors capabilities and actions during the performance of tasks situated within physics-based environments.
The following key concepts define the M3X program and therefore must be captured in any competitive proposal submitted to the program:
Human and Synthetic Actors, which refer respectively to human beings and to embodied constructs with the additional capacity for engaging in sensorimotor interactions (defined below) as enabled by a potentially wide range of capabilities such as sensing, reasoning, communicating, interacting, and learning. Competitive proposals to the M3X program must consider the interaction between at least one human actor and at least one synthetic actor.
Sensorimotor interaction, which refers to the exchange of information between at least one human actor and at least one synthetic actor through any sensorimotor channel (e.g., haptic, visual, etc.) available to human or synthetic actors in real, virtual or hybrid environments. This interaction must be bidirectional between human and synthetic actors.
Embodied reasoning, which refers to the capability of human and synthetic actors to engage in cognitive activities that produce knowledge or expectations about each other (e.g., via intent detection, trust-building, social engagement, etc.). Such capability must be enabled or evolved through sensorimotor interaction, in a physics-based environment. Other aspects of embodied reasoningsuch as understanding of task requirements or of the environment within which co-activities are embeddedmay also be present.
Physics-based environment, which refers to a real and/or simulated environment where laws of physics are defined and applied to objects and to interactions within that environment.
The M3X program encourages research on sensorimotor interaction and embodied reasoning between human and synthetic actors in real, virtual, or hybrid settings, over a range of spatial and temporal scales, and for different modes of interaction. The M3X program supports research derived from conceptual, mathematical, empirical, experimental, computational, and cross-cutting perspectives, among others. Multi-disciplinary perspectives are encouraged but must be integrated to promote a holistic treatment of the research.
Topics of interest to the M3X program include  but are by no means limited to  collaboration, cooperation, and competition among human and synthetic actors; the role of virtual, mixed and hybrid environments in decision making and learning; new approaches to modeling, guiding and controlling processes of reasoning and interaction; as well as the development of research infrastructure (including open source instrumentation, models, data and environments) that will accelerate research in this area.
Proposals that do not engage each of the three concepts listed above (i.e., human and synthetic actors linked through sensorimotor interaction and with capabilities for embodied reasoning) may be returned without review. Research involving only a single human actor or a single synthetic actor is not appropriate for the M3X program and should be directed towards other NSF programs. Similarly, research that does not include interaction with a physics-based environment, such as interaction between actors based exclusively on language or exchange of characters on a screen, is also not appropriate for the M3X program.</t>
  </si>
  <si>
    <t>none</t>
  </si>
  <si>
    <t>Engineer Research and Development Center</t>
  </si>
  <si>
    <t>DOD-COE-ERDC</t>
  </si>
  <si>
    <t>ERDC Broad Agency Announcement</t>
  </si>
  <si>
    <t>12/31/2024</t>
  </si>
  <si>
    <t>The U.S. Army Corps of Engineers (USACE) Engineer Research and Development Center (ERDC) is issuing this announcement for various research and development topic areas. The ERDC consists of the Coastal and Hydraulics Laboratory (CHL), the Geotechnical and Structures Laboratory (GSL), the Environmental Laboratory (EL) and the Information Technology Laboratory (ITL) in Vicksburg, Mississippi, the Cold Regions Research and Engineering Laboratory (CRREL) in Hanover, New Hampshire, the Construction Engineering Research Laboratory (CERL) in Champaign, Illinois, and the Geospatial Research Laboratory (GRL) in Alexandria, Virginia. The ERDC is responsible for conducting research in the broad fields of hydraulics, dredging, coastal engineering, instrumentation, oceanography, remote sensing, geotechnical engineering, earthquake engineering, soil effects, vehicle mobility, self-contained munitions, military engineering, geophysics, pavements, protective structures, aquatic plants, water quality, dredged material, treatment of hazardous waste, wetlands, physical/mechanical/ chemical properties of snow and other frozen precipitation, infrastructure and environmental issues for installations, computer science, telecommunications management, energy, facilities maintenance, materials and structures, engineering processes, environmental processes, land and heritage conservation, and ecological processes.
This announcement is continuously open; pre-proposals may be submitted and will be reviewed at any time throughout the year. The availability of funds may limit the ability of the U.S. Government to make awards in specific areas, nevertheless pre-proposals are sought under this announcement for all research areas identified.
For additional details on the research topic areas and how to submit pre-proposals, please go to:
https://www.erdcwerx.org/u-s-army-engineer-research-and-development-center-broad-agency-announcement/</t>
  </si>
  <si>
    <t xml:space="preserve">Unrestricted (i.e., open to any type of entity above), subject to any clarification in text field entitled "Additional Information on Eligibility" </t>
  </si>
  <si>
    <t>U.S. Army Research Institute for the Behavioral and Social Sciences Broad Agency Announcement for Basic Research (Fiscal Year 2025)</t>
  </si>
  <si>
    <t>07/01/2024</t>
  </si>
  <si>
    <t>This Broad Agency Announcement (BAA) for the Foundational Science Research Unit (FSRU) of the U.S. Army Research Institute for the Behavioral and Social Sciences (ARI) solicits new proposals for its fiscal year 2025 program of basic research in behavioral science. It is issued under the provisions of paragraph 6.102(d) (2) and 35.016 of the Federal Acquisition Regulation (FAR), which provides for the acquisition of basic and applied research and that part of development not related to the development of a specific system or hardware procurement through the competitive selection of proposals and 10 U.S.C. 4001, 10 U.S.C. 4021, and 10 U.S.C. 4022.
To meet the operational objectives of the U.S. Army over the next two decades, the Army must improve its capability to acquire, develop, employ, and retain Soldiers and leaders who can individually and as part of a group:
·       Prepare for and adapt quickly to dynamic missions, unpredictable operational environments, and a wide spectrum of contexts;
·       Effectively function autonomously and as part of larger systems in complex, information-rich environments;
·       Perform in extended, hybrid, and continuous operations;
·       Interact and collaborate effectively in joint-service and multi-national operations.
ARI requests proposals to conduct basic research that will provide a scientific foundation to support these broad capabilities.
The Basic Research program focuses on three strategic areas for advancing personnel science.
1.    Science of Measurement of Individuals and Collectives: Advanced psychometric theory for deriving valid measurements from complex assessments and continuous streams of data
2.    Understanding Multilevel and Organizational Dynamics: Multilevel theory and methods for understanding dynamic restructuring, coordination, and composition processes in teams and complex organizations
3.    Formal/Informal Learning and Development: Holistic models of individual and collective learning and development across work settings and contexts throughout the career span
To be eligible for an award under this announcement, a potential awardee must meet certain minimum standards pertaining to financial resources and responsibility, ability to comply with the performance schedule, past performance, integrity, experience, technical capabilities, operational controls, and facilities. In accordance with Federal statutes, regulations, and Department of Defense and Army policies, no person on grounds of race, color, age, sex, national origin, or disability shall be excluded from participation in, be denied the benefits of, or be subjected to discrimination under any program or activity receiving financial assistance from the Army.
Response Dates (Submissions):
White Paper submissions must be received by: 5:00 PM/1700 Eastern Standard Time (EST) on 1 March 2024
Proposal submissions must be received by: 5:00 PM/1700 Eastern Daylight Time (EDT) on 1 July 2024
2024 Response Dates (Questions):
Questions regarding White Papers must be submitted in writing to meghan.i.huntoon.civ@army.mil by: 5:00 PM/1700 Eastern Standard Time (EST) on 14 February 2024
Questions regarding Proposals must be submitted in writing to meghan.i.huntoon.civ@army.mil by: 5:00 PM/1700 Eastern Daylight Time (EDT) on 15 June 2024</t>
  </si>
  <si>
    <t>Others (see text field entitled "Additional Information on Eligibility" for clarification) Eligible Applicants: Proposals are sought from institutions of higher education, non-profit organizations, and commercial entities, domestic or foreign, for research and development (R D) in those areas specified in SECTION II. A of this BAA. Foreign owned, controlled, or influenced organizations are advised that security restrictions may apply that could preclude their participation in these efforts. Countries included on the U.S. State Department List of Countries that Support Terrorism are excluded from participation in these efforts. Government Laboratories, Federal Funded Research and Development Centers (FFRDCs), and U.S. Service Academies are not eligible to participate as prime Contractors or Recipients under this BAA. If a proposal selected for award includes the involvement of a Government laboratory, Federally Funded Research and Development Center, or U.S. Service Academy, award funds allocated for the involvement of Government laboratories, FFRDCs, and/or U.S. Service Academies will be directly provided from ARI to the respective Government laboratory, FFRDC or U.S. Service Academy via a Military Interdepartmental Purchase Request (MIPR). No award funds will be channeled directly from a prime awardee (e.g., Contractor or Recipient) to a Government laboratory, FFRDC, or U.S. Service Academy.</t>
  </si>
  <si>
    <t>Boosting Innovative GEOINT - Science   Technology  Broad Agency Announcement (BIG-ST BAA)</t>
  </si>
  <si>
    <t>DOD-NGIA</t>
  </si>
  <si>
    <t xml:space="preserve">National Geospatial-Intelligence Agency </t>
  </si>
  <si>
    <t>12/14/2026</t>
  </si>
  <si>
    <t>The Boosting Innovative GEOINT-Science and Technology (BIG-ST) Broad Agency Announcement (BAA) invites proposers to submit innovative concepts to address hard GEOINT problems that align to one or more of the following technical domains:
(1) Foundational GEOINT,
(2) Advanced Phenomenologies, and
(3) Analytic Technologies.
BAA Process and Topic Call Publication:
The BIG-ST BAA is a general announcement of NGA’s research interest, including criteria for selecting proposals and soliciting the participation of all offerors capable of satisfying the Government’s needs.
The requests for abstracts and/or proposals are transmitted via Topic Calls that are published separately under the BIG-ST BAA general solicitation at various times during the open period of the general solicitation. Topic Calls will be published via updates of the BIG-ST BAA General Solicitation site on Sam.gov and Grants.gov. Interested parties should periodically check these websites for updates.
No submissions shall be accepted to the general solicitation; abstracts and proposals will only be reviewed in response to Topic Calls. Please refer to the Topic Calls for Abstract and Proposal due dates. 
The BIG-ST BAA General Solicitation, HM047623BAA0001, is posted and applies to Topic 1 and forward.  See 'Related Documents'.
Active Topics:
Topic 1 - Geospatial-Intelligence Foundational Model (GFM) is active.
---------------------------------------------------------------------------------------------------
Topic 01:  'Geospatial-Intelligence Foundational Model' (GFM) published on 12/15/2023. See 'Related Documents'.
Questions Due on 01/02/2024 @ 5:00pm ET
Abstracts Due on 01/23/2024 @ 5:00pm ET
Proposals Due on 03/04/2024 @ 5:00pm ET (Note: Proposers who do not submit an abstract are ineligible to submit a proposal.)
Contact Email for Topic 01: Unclassified: BIGSTBAA@nga.mil (Email Subject: ‘TOPIC 01 – GFM’)</t>
  </si>
  <si>
    <t>Others (see text field entitled "Additional Information on Eligibility" for clarification) All responsible sources capable of satisfying the Government's needs may submit a proposal for NGA s consideration. See Section 3: Eligibility Information, of Broad Agency Announcement HM047623BAA0001 for detailed information.</t>
  </si>
  <si>
    <t>Others (see text field entitled "Additional Information on Eligibility" for clarification) Proposers must be affiliated with an institution at nspires.nasaprs.com/ and, in general, NASA provides funding only to U.S. institutions. Organizations outside the U.S. that propose on the basis of a policy of no-exchange-of-funds; consult the NASA Proposer s Guide (https://www.nasa.gov/general/grants-policy-and-compliance-team/ - section-2) for specific details. Some NRAs may be issued jointly with a non-U.S. organization, e.g., those concerning guest observing programs for jointly sponsored space science programs, that will contain additional special guidelines for non-U.S. participants. Also reference the Proposer s Guide for special instructions for proposals from non-U.S. organizations that involve U.S. personnel for whom NASA support is requested.</t>
  </si>
  <si>
    <t>ECosystem for Leading Innovation in Plasma Science and Engineering</t>
  </si>
  <si>
    <t>08/13/2024</t>
  </si>
  <si>
    <t>Plasma science is a transdisciplinary field of research where fundamental studies in many disciplines, including plasma physics, plasma chemistry, materials science, and space science, come together to advance knowledge for discovery and technological innovation. The primary goal of the ECosystem forLeadingInnovation inPlasmaScience andEngineering (ECLIPSE) program is to identify and capitalize on opportunities for bringing fundamental plasma science investigations to bear on problems of societal and technological need within the scope of science and engineering supported by the participating NSF programs. The ECLIPSE meta-program has been created to foster an inclusive community of scientists and engineers, an ecosystem spanning multiple NSF Directorates, in the pursuit of translational research at the interface of fundamental plasma science and technological innovation. The ECLIPSE program builds on the long history of NSF leadership in supporting multi-disciplinary research in plasma science and engineering, and is intended to enhance organizational unity within NSF, and potentially with other funding agencies, in considering proposals and supporting projects that may otherwise struggle to find a natural home within the existing hierarchy of Directorates, Divisions, and programs within the Foundation. Examples of topical areas within the scope of the ECLIPSE program include but are not limited to:
    Plasma surface interactions, with applications to, e.g., advanced manufacturing, materials processing, and catalysis.
    Atmospheric pressure plasmas and microplasmas with applications to, e.g., microelectronics, plasma agriculture, environmental remediation, and other clean and decarbonized energy goals enabled by electrification of the chemical industry.
    Dusty plasmas with applications to, e.g., development of nanomaterials, aerosols, and functionalized surface coatings.
    Novel sensor development for highly non-equilibrium plasmas with applications to, e.g., cubesat-based geospace measurements and industrial plasma diagnostics.
    Novel computational modeling for multi-component and/or multi-phase plasma systems with applications to, e.g., space weather prediction and plasma reactor design.
    Novel studies of plasmons in nano-photonics and nano-optics with applications to, e.g., sub-THz wireless communication and photocatalytic chemical processes.
    New chemical measurement science for characterizing processes occurring in plasmas and using plasmas as part of measurement systems with applications to, e.g., analysis of environmental contaminants or identification of forensic evidence.
    Study of fundamental chemical reactions and mechanisms in plasmas with applications to, e.g., novel chemical synthesis.
Proposals submitted for consideration by this program should address societal or technological needs within the scope of science and engineering supported by the National Science Foundation. Proposals addressing technology development primarily supported by other US government funding agencies are not eligible for consideration and may be returned without review. Proposers are strongly encouraged to contact the cognizant Program Officers if they are unsure of the suitability of a project to this program. Proposals submitted for consideration by the ECLIPSE program should satisfy the following criteria: (1) clearly articulate the fundamental scientific and/or engineering challenge in plasma science and engineering that may be relevant to more than one NSF program; and (2) provide a substantive discussion of how a resolution of the stated scientific and/or engineering challenge will address specific societal and/or technological needs identified as priorities by the research communities, policymakers and/or other stakeholders. Depending on the nature of the proposal, the latter may be described as the Intellectual Merit or the Broader Impact of the proposed activity. The program encourages inclusion of specific efforts to increase the diversity of the ECLIPSE community and to broaden participation of under-represented groups in Science, Technology, Engineering, and Mathematics (STEM) as Broader Impacts of proposed work. The program welcomes proposals from Historically Black Colleges and Universities (HBCUs), other Minority Serving Institutions (MSIs), and institutions in EPSCoR-eligible jurisdictions, along with collaborations between these institutions. Proposers are also encouraged to address how the proposed efforts may enhance workforce development towards STEM careers associated with the field of plasma science and engineering. The ECLIPSE program is not intended to replace existing programs. A proposal that is requesting consideration within the context of ECLIPSE should begin the title with the identifying acronym "ECLIPSE:" and should be submitted to one of the "Related Programs" listed below. In choosing the most relevant program, proposers are advised to read program descriptions and solicitations carefully and to consult with cognizant Program Officers in advance of proposal preparation. Proposal submissions outside of the scientific scope of the receiving program may be transferred to a different program or may be returned without review. Proposers should ask for consideration and review as an ECLIPSE proposal only if the proposal addresses both of the criteria listed above. Proposals marked for consideration by the ECLIPSE program that do not address both of these criteria may be returned without review or reviewed within the context of an individual program. Supplement requests to existing awards within a program that address both of the above criteria may also be considered. Information Sharing with other Funding Agencies When permitted under an MOU between NSF and another funding agency, NSF may share information from proposals for consideration of joint funding and may invite employees of such organizations to attend merit review panels as observers.</t>
  </si>
  <si>
    <t>Atmospheric   Geospace Sciences Community Instruments and Facilities</t>
  </si>
  <si>
    <t>05/01/2024</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</si>
  <si>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No restrictions</t>
  </si>
  <si>
    <t>The intent of the Community Instruments and Facilities (CIF) solicitation is to provide the NSF-sponsored atmospheric sciences research community with access to specialized instrumentation for field and laboratory-based studies. The CIF solicitation requests proposals from instrument and facility providers who will make their equipment available for community use through an NSF-defined request process. Support will be provided for limited technician time, minor upgrades, and travel for outreach. The Community Instruments and Facilities (CIF) solicitation is intended to expand the suite of instruments and facilities available to the atmospheric science community supported by NSF. Proposals funded through this solicitation will promote research, education, and outreach in areas currently supported by programs in the Atmosphere Section of the Division of Atmospheric and Geospace Sciences (AGS). Detailed descriptions of research programs of the Atmosphere Section are available at -https://www.nsf.gov/funding/programs.jsp?org=AGS</t>
  </si>
  <si>
    <t>Data Reduction for Science</t>
  </si>
  <si>
    <t>05/07/2024</t>
  </si>
  <si>
    <t>Unrestricted (i.e., open to any type of entity above), subject to any clarification in text field entitled "Additional Information on Eligibility" All types of domestic applicants are eligible to apply, except nonprofit organizations described in section 501(c)(4) of the Internal Revenue Code of 1986 that engaged in lobbying activities after December 31, 1995.
Federally affiliated entities must adhere to the eligibility standards below:
III.A.1. DOE/NNSA National Laboratories
DOE/NNSA National Laboratories are eligible to submit applications (either as a lead organization or as a team member in a multi-institutional team) under this FOA and may be proposed as subrecipients under another organization s application. If recommended for funding as a lead applicant or a team member, funding will be provided through the DOE Field-Work Proposal System and work will be conducted under the laboratory s contract with DOE. No administrative provisions of this FOA will apply to the laboratory or any laboratory subcontractor. If recommended for funding as a proposed subrecipient, the value of the proposed subaward will be removed from the prime applicant s award and will be provided to the laboratory through the DOE Field-Work Proposal System and work will be conducted under the laboratory s contract with DOE. Additional instructions for securing authorization from the cognizant Contracting Officer are found in Section VIII of this FOA.
III.A.2. Non-DOE/NNSA FFRDCs
Non-DOE/NNSA FFRDCs are eligible to submit applications (either as a lead organization or as a team member in a multi-institutional team) under this FOA and may be proposed as subrecipients under another organization s application. If recommended for funding as a lead applicant or a team member, funding will be provided through an interagency agreement Award to the FFRDC s sponsoring Federal Agency. If recommended for funding as a proposed subrecipient, the value of the proposed subaward may be removed from the prime applicant s award and may be provided through an Inter-Agency Award to the FFRDC s sponsoring Federal Agency. Additional instructions for securing authorization from the cognizant Contracting Officer are found in Section VIII of this FOA.
III.A.3. Other Federal Agencies
Other Federal Agencies are eligible to submit applications (either as a lead organization or as a team member in a multi-institutional team) under this FOA and may be proposed as subrecipients under another organization s application. If recommended for funding as a lead applicant or a team member, funding will be provided through an interagency agreement. If recommended for funding as a proposed subrecipient, the value of the proposed subaward may be removed from the prime applicant s award and may be provided through an interagency agreement. Additional instructions for providing statutory authorization are found in Section VIII of this FOA.</t>
  </si>
  <si>
    <t>Scientific observations, experiments, and simulations are producing data at rates beyond our capacity to store, analyze, stream, and archive the data in raw form. Of necessity, many research groups have already begun reducing the size of their data sets via techniques such as compression, reduced order models, experiment-specific triggers, filtering, and feature extraction. Once reduced in size, transporting, storing, and analyzing the data is still a considerable challenge – a reality that motivates SC’s Integrated Research Infrastructure (IRI) program [1] and necessitates further innovation in data-reduction methods. These further efforts should continue to increase the level of mathematical rigor in scientific data reduction to ensure that scientifically-relevant constraints on quantities of interest are satisfied, that methods can be integrated into scientific workflows, and that methods are implemented in a manner that inspires trust that the desired information is preserved. Moreover, as the scientific community continues to drive innovation in artificial intelligence (AI), important opportunities to apply AI methods to the challenges of scientific data reduction and apply data-reduction techniques to enable scientific AI, continue to present themselves [2-4].
The drivers for data reduction techniques constitute a broad and diverse set of scientific disciplines that cover every aspect of the DOE scientific mission. An incomplete list includes light sources, accelerators, radio astronomy, cosmology, fusion, climate, materials, combustion, the power grid, and genomics, all of which have either observatories, experimental facilities, or simulation needs that produce unwieldy amounts of raw data. ASCR is interested in algorithms, techniques, and workflows that can reduce the volume of such data, and that have the potential to be broadly applied to more than one application. Applicants who submit a pre-application that focuses on a single science application may be discouraged from submitting a full proposal.
Accordingly, a virtual DOE workshop entitled “Data Reduction for Science” was held in January of 2021, resulting in a brochure [5] detailing four priority research directions (PRDs) identified during the workshop. These PRDs are (1) effective algorithms and tools that can be trusted by scientists for accuracy and efficiency, (2) progressive reduction algorithms that enable data to be prioritized for efficient streaming, (3) algorithms which can preserve information in features and quantities of interest with quantified uncertainty, and (4) mapping techniques to new architectures and use cases. For additional background, see [6-9].
The principal focus of this FOA is to support applied mathematics and computer science approaches that address one or more of the identified PRDs. Research proposed may involve methods primarily applicable to high-performance computing, to scientific edge computing, or anywhere scientific data must be collected or processed. Significant innovations will be required in the development of effective paradigms and approaches for realizing the full potential of data reduction for science. Proposed research should not focus only on particular data sets from specific applications, but rather on creating the body of knowledge and understanding that will inform future scientific advances. Consequently, the funding from this FOA is not intended to incrementally extend current research in the area of the proposed project. Rather, the proposed projects must reflect viable strategies toward the potential solution of challenging problems in data reduction for science. It is expected that the proposed projects will significantly benefit from the exploration of innovative ideas or from the development of unconventional approaches. Proposed approaches may include innovative research with one or more key characteristics, such as compression, reduced order models, experiment-specific triggers, filtering, and feature extraction, and may focus on cross-cutting concepts such as artificial intelligence or trust. Preference may be given to pre-applications that include reduction estimates for at least two science applications.</t>
  </si>
  <si>
    <t>Accelerated Research in Quantum Computing</t>
  </si>
  <si>
    <t>Others (see text field entitled "Additional Information on Eligibility" for clarification) All types of domestic applicants are eligible to apply, except nonprofit organizations described in section 501(c)(4) of the Internal Revenue Code of 1986 that engaged in lobbying activities after December 31, 1995.Federally affiliated entities must adhere to the eligibility standards below:III.A.1. DOE/NNSA National LaboratoriesDOE/NNSA National Laboratories are eligible to submit applications (either as a lead organization or as a team member in a multi-institutional team) under this FOA but may not be proposed as subrecipients under another organization s application. If recommended for funding as a lead applicant or as a team member, funding will be provided through the DOE Field-Work Proposal System and work will be conducted under the laboratory s contract with DOE. No administrative provisions of this FOA will apply to the laboratory or any laboratory subcontractor. Additional instructions for securing authorization from the cognizant Contracting Officer are found in Section VIII of this FOA.III.A.2. Non-DOE/NNSA FFRDCsNon-DOE/NNSA FFRDCs are eligible to submit applications under this FOA but are not eligible to be proposed as subrecipients under another organization s application. Instead, they must submit their own application as a team member in a multi-institutional team. If recommended for funding, either as the sole applicant or in a multi-institutional team, funding may be provided through an interagency agreement to the FFRDC s sponsoring Federal Agency. Additional instructions for securing authorization from the cognizant Contracting Officer are found in Section VIII of this FOA.III.A.3. Other Federal AgenciesOther Federal Agencies are eligible to submit applications under this FOA but are not eligible to be proposed as subrecipients under another organization s application. Instead, they must submit their own application as a team member in a multi-institutional team. If recommended for funding, either as the sole applicant or in a multi-institutional team, funding will be provided through an interagency agreement. Additional instructions for providing statutory authorization are found in Section VIII of this FOA.</t>
  </si>
  <si>
    <t xml:space="preserve">Quantum information science [https://quantum.gov] has emerged as a promising area for the development of disruptive computing technologies. Since 2015, ASCR has organized several workshops that have indicated the potential of quantum computing for scientific applications [2 -5] and has supported basic research to improve all layers of the quantum software stack including algorithms, programming languages, error mitigation, and compilers. The progress has been remarkable, however, practical applications of quantum computing that improve time-to-solution, or power-to-solution, or accuracy of the results with respect to the best classical system have not yet been deployed.
The 2023 Basic Research Needs Workshop in Quantum Computing and Networking [6] identified several priority research directions (PRDs); this FOA targets end-to-end software toolchains to program and control quantum systems and networks at scale (PRD1), quantum algorithms delivering quantum advantage (PRD2), and resilience through error detection, prevention, protection, mitigation, and correction (PRD4). These are key components for the development of a software ecosystem that must be ready to account for modularity and interoperability on one side, and for specialization and performance on another. Research proposed in response to this FOA must primarily focus on addressing one of the two topics described below:
Topic 1 – ­Modular Software Stack: The diversity of quantum computing architectures and hardware technologies is expected to persist into the foreseeable future; this is an important consideration that guides the advancement of computer science sought in this topic. The development of an integrated computational ecosystem requires a general-purpose quantum software stack that is adaptable to, and takes advantage of, multiple kinds of quantum hardware.
We seek basic research in computer science and applied mathematics that:
·      Addresses practical and fundamental bottlenecks that hinder modularity and potential synergy among selected hardware technologies;
·      Pursues general approaches to integration that may remain relevant for future technologies;
·      Devises ways to embed quantum processors in parallel and distributed computing models; and
·      Integrates error management across the software stack.
Topic 2 – Quantum Utility: This topic aims to advance the research towards achievement and demonstration of quantum utility [1] by developing new algorithms and fine-tuning all levels of the software stack for a selected portfolio of promising problems within the ASCR mission.
Applications should:
·      Choose generalizable application-inspired target problems;
·      Develop algorithms for optimized math kernels and math primitives for selected current (NISQ) and future quantum systems that significantly advance state-of-the-art performance for the selected target problems;
·      Adapt, if needed, any level of the software stack for the specific target problems; and
·      Estimate quantum resources by employing important complementary metrics, including energy-to-solution.  
Verification protocols and tools are important for both Topic 1 and Topic 2 and should be discussed in the application.
Applicants must choose and specify Topic 1 or Topic 2 as the focus of their application. In the choice of Topic 1 or 2, proposed research is encouraged to consider multiple metrics, such as qubit count, gate fidelity, and qubit connectivity.  </t>
  </si>
  <si>
    <t>Energy Frontier Research Centers (EFRC)</t>
  </si>
  <si>
    <t xml:space="preserve">The DOE SC program in Basic Energy Sciences (BES) announces a re-competition of the Energy Frontier Research Center (EFRC) program and encourages both new and renewal applications. Applications from multi-disciplinary teams will be required to propose discovery science and use-inspired basic research that addresses priority research directions and opportunities identified by a series of BES workshop and roundtable reports. The focus of the EFRC program is on fundamental scientific research, therefore applications to this FOA must not propose applied research and technology development activities. BES is soliciting renewal applications for basic science in three topical areas: 1) Transformative manufacturing, 2) Quantum information science (QIS), and 3) Environmental management. BES is soliciting new applications for basic science in two topical areas: 1) Co-design of materials and processes to revolutionize microelectronics and/or QIS fabrication, and 2) Environmental management. </t>
  </si>
  <si>
    <t>Long Range Broad Agency Announcement (BAA) for NSWC Crane</t>
  </si>
  <si>
    <t>DOD-ONR-SEA-CRANE</t>
  </si>
  <si>
    <t>NSWC - CRANE</t>
  </si>
  <si>
    <t>02/07/2025</t>
  </si>
  <si>
    <t>This announcement seeks revolutionary research ideas, and technology demonstrators that offer potential for advancement and improvement of NSWC Crane’s primary mission areas.
NSWC Crane is a field activity of the Naval Sea Systems Command. NSWC Crane supports a wide range of government agencies in the interest of national security. NSWC Crane may publish BAAs and other solicitations in response to specific needs. This BAA is issued to seek innovative solutions and ideas for topics not covered via other means. It is strongly encouraged that potential proposers review existing NSWC Crane solicitations to avoid duplication of effort and to contact the identified points of contact for each BAA topic to discuss specific details of the needs.
The mission of NSWC Crane is to provide research, development, test and evaluation, acquisition engineering, in-service engineering and technical support in its assigned technical capabilities for the United States Navy, Department of Defense components and agencies, and other federal agencies and components engaged in national security. NSWC Crane also works to apply component and system-level product and industrial engineering to surface sensors, strategic systems, special warfare devices and electronic warfare systems, as well as to execute other responsibilities as assigned by the Commander, Naval Surface Warfare Center.
The focus of NSWC Crane is “Harnessing the Power of Technology for the Warfighter.” Crane specializes in total lifecycle support in three broad focus areas: Expeditionary Warfare, Strategic Missions, and Electronic Warfare, which support ten assigned technical capabilities (TCs) listed below.
1. Electronic Warfare (EW)
2. Infrared and Pyrotechnic Countermeasures
3. Strategic Systems Hardware
4. Expeditionary Warfare and Systems
5. Advanced Electronics
6. Sensors and Surveillance Systems
7. Hypersonic Weapon Systems
8. Power and Energy Systems
9. Electro-optic and Infrared Technologies
10.Force level EW Mission Analysis, Advanced Concepts and Technologies
Within each of the TCs, there are multiple thrust areas, which present considerable opportunities for innovative research and solutions to support national security imperatives. There is intentional overlapping space within the listed TC such that a potential technology or research idea may support multiple TCs. Any proposal should list the principal TC as well as any adjunct TCs that should be considered. Proposals that support multiple TCs are strongly desired but not necessary</t>
  </si>
  <si>
    <t>Computer and Information Science and Engineering Research Expansion Program</t>
  </si>
  <si>
    <t>05/02/2024</t>
  </si>
  <si>
    <t xml:space="preserve">Others (see text field entitled "Additional Information on Eligibility" for clarification) *Who May Submit Proposals: Proposals may only be submitted by the following:
  -
CISE MSI promotes capacity building and institutional infrastructure development for CISE programs at MSIs, as well as partnerships between MSIs and non-MSIs across the nation. These activities are intended to be a driving force for strengthening and diversifying U.S. research and education pathways and providing historically marginalized communities new opportunities in STEM careers. Proposals may be submitted only by accredited Institutions of Higher Education (IHEs) that span class= are recognized as Minority Serving Institutions ( a class=  href= span class= span class=  ). 
 span class= Institutions that have received NSF awards totaling more than $2 million dollars, within the past five years from the CISE programs listed in Section II combined, are not eligible to serve as lead institutions, but may participate as non-lead collaborators. (See Section II Program Description) 
*Who May Serve as PI:
A MSI faculty member should serve as the lead principal investigator(s) on any proposal submission.  br / </t>
  </si>
  <si>
    <t>With this solicitation, the National Science Foundation's (NSF) Directorate for Computer and Information Science and Engineering (CISE) is continuing its support of research expansion for Minority-Serving Institutions (MSIs). The goal of the CISE MSI program is to broaden participation by increasing the number of CISE-funded research projects from MSIs and to develop research capacity toward successful submissions to core CISE programs. MSIs are central to inclusive excellence: they foster innovation, cultivate current and future undergraduate and graduate computer and information science and engineering talent, and bolster long-term U.S. competitiveness.</t>
  </si>
  <si>
    <t>Distributed Array of Small Instruments</t>
  </si>
  <si>
    <t>05/15/2024</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</si>
  <si>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</si>
  <si>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Distributed Array of Small Instruments (DASI) solicitation is designed to address the increasing need for high spatial and temporal resolution measurements to determine the local, regional, and global scale processes that are essential for addressing the fundamental questions insolar and space physics. This solicitation will be formally divided into two tracks: 1) development of instrumentation for future deployment in arrays and 2) deployment and operation of existing instruments in distributed arrays.This DASI solicitation emphasizes both strong scientific merit and a well-developed plan for student training and involvement of a diverse workforce.</t>
  </si>
  <si>
    <t>Sustainable Regional Systems Research Networks</t>
  </si>
  <si>
    <t>15000000</t>
  </si>
  <si>
    <t xml:space="preserve">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Additional Requirements:
Proposals must include either/or:
 ul type= 
 If the team of core organizations include academic organizations, then at least one must be a university or collegethat serves populations ofstudents historically underrepresented in STEM.To qualify as a core partner organization, theremust be financial support for a minimum of three faculty membersparticipating in the SRS RN along with financial support fora minimum of three students. 
 A core partner, such as a community group, a non-profit,or other group/organization that supports an underrepresented communitywithin the scope of the proposed research project. To qualify as a core partner organization, they must be allocated a minimum of 10% of the total budget request for theentire SRS RN. 
*Who May Serve as PI:
Individuals from the following types of organizations can participate, including as co-PIs or Senior Personnel(but not the PI), as follows:
 ul type= 
 Other Federal Agencies: Researchers or participantsfrom other Federal agenciesor Federally Funded Research and Development Centers (FFRDCs) may be supported bysubawards or participate asunfunded collaborators. A letter of collaboration is required for non-NSF sponsored FFRDCs and other Federal agencies. 
 State and Local Governments:Individuals fromstate educational offices or organizations and local school districts may be supported bysubawards or participate asunfunded collaborators. A letter ofcollaboration from their organization is required. 
 Scientists, engineers or educators in the U.S. who are U.S. citizens may be supported bysubawards or participate asunfunded collaborators. A letter of collaboration is required. 
 </t>
  </si>
  <si>
    <t>The United States is made up of regional systems comprising interdependent urban and rural systems and every community category between urban and rural. Urban systems and rural systems are interdependent for the provisioning of food, energy sources, water, other materials and natural resources, markets, manufactured goods, and medical resources. These systems are also connected by ecological processes that both influence and are influenced by human behavior. The vital interconnection of urban-rural systems underscores the critical need for the advancement of sustainable regional systems (SRS). The goal of this solicitation is to fund convergent research and education that will advance sustainable regional systems science, engineering, and education to facilitate the transformation of current regional systems to enhance sustainability. To further the advancement of SRS science, engineering, and education, NSF will support proposals for Sustainable Regional Systems Research Networks (SRS RNs). Sustainable regional systems are connected urban and rural systems that are transforming their structures and processes collaboratively with the goal of measurably and equitably advancing the well-being of people and the planet. The purpose of the SRS RNs competition is to develop and support interdisciplinary, multi-organizational teams working collaboratively to produce cutting-edge convergent research, education, and outreach that addresses grand challenges in sustainable regional systems. SRS RNs will study multiscale regional systems to further SRS science, engineering, and education. Key elements will include new data, methods, and models to understand interactions between natural, human-built, and social systems; improved understanding of interdependencies, mutual benefits, and trade-offs of different wellbeing outcomes for humans and the environment; new and generalizable theories of change relevant to SRS;theco-production of knowledge; andexploration of conceptsof social equity in sustainable regional systems across spatial and temporal scales. SRS RN outcomes will have the potential to inform societal actions for sustainability across urban systems and the connected rural communities that make up regional systems. Subject to availability of funds and quality of proposals, this SRS RN solicitation will support:
    SRS RN Awards.These awards will supportfundamental convergent research, education, and outreach that addressesengineering, chemistry, biology, geosciences, mathematics, statistics, environmental, data, computational, education, and social, behavioral, and economic sciences ofsustainable regional systems in partnerships thatmay embrace universities, colleges, federal, state, and local governments, tribal communities, non-governmental and international bodies, non-profit organizations, industry, practitioners, and other community groups. The award size is up to $15 million totalwith a duration of 5 years.
SRS RNs will conduct innovative and pioneering fundamental research and education that is of a scale and complexity that would not be possible within a single organization, center, or through the normal collaborative modes of NSF research support in core programs.</t>
  </si>
  <si>
    <t>DOT-PHMSA</t>
  </si>
  <si>
    <t>Pipeline and Hazardous Materials Safety Admin</t>
  </si>
  <si>
    <t>Research on General Plasma Science Collaborative Research Facilities</t>
  </si>
  <si>
    <t xml:space="preserve">The DOE SC program in Fusion Energy Sciences (FES) hereby announces its interest in receiving new applications from U.S. researchers to carry out frontier-level plasma science research on one or more of the FES General Plasma Science (GPS) Program supported collaborative research facilities (CRFs). These include the Big Red Ball (BRB) and Madison Symmetric Torus (MST) experiments at the Wisconsin Plasma Physics Laboratory (WiPPL) at the University of Wisconsin – Madison, the Large Plasma Device (LAPD) in the Basic Plasma Science Facility (BaPSF) at the University of California – Los Angeles, the DIII-D Frontier Science Campaign at General Atomics, the Magnetized Dusty Plasma Experiment (MDPX) at the Magnetized Plasma Research Laboratory (MPRL) at Auburn University, and the low-temperature Plasma Research Facility (PRF) at Sandia National Laboratories, and Princeton Collaborative Research Facility (PCRF) at the Princeton Plasma Physics Laboratory.
 The DOE SC program in Fusion Energy Sciences (FES) hereby announces its interest in receiving new applications from U.S. researchers to carry out frontier-level plasma science research on one or more of the FES General Plasma Science (GPS) Program supported collaborative research facilities (CRFs). These include the Big Red Ball (BRB) and Madison Symmetric Torus (MST) experiments at the Wisconsin Plasma Physics Laboratory (WiPPL) at the University of Wisconsin – Madison, the Large Plasma Device (LAPD) in the Basic Plasma Science Facility (BaPSF) at the University of California – Los Angeles, the DIII-D Frontier Science Campaign at General Atomics, the Magnetized Dusty Plasma Experiment (MDPX) at the Magnetized Plasma Research Laboratory (MPRL) at Auburn University, and the low-temperature Plasma Research Facility (PRF) at Sandia National Laboratories, and Princeton Collaborative Research Facility (PCRF) at the Princeton Plasma Physics Laboratory.
 The DOE SC program in Fusion Energy Sciences (FES) hereby announces its interest in receiving new applications from U.S. researchers to carry out frontier-level plasma science research on one or more of the FES General Plasma Science (GPS) Program supported collaborative research facilities (CRFs). These include the Big Red Ball (BRB) and Madison Symmetric Torus (MST) experiments at the Wisconsin Plasma Physics Laboratory (WiPPL) at the University of Wisconsin – Madison, the Large Plasma Device (LAPD) in the Basic Plasma Science Facility (BaPSF) at the University of California – Los Angeles, the DIII-D Frontier Science Campaign at General Atomics, the Magnetized Dusty Plasma Experiment (MDPX) at the Magnetized Plasma Research Laboratory (MPRL) at Auburn University, and the low-temperature Plasma Research Facility (PRF) at Sandia National Laboratories, and Princeton Collaborative Research Facility (PCRF) at the Princeton Plasma Physics Laboratory.
 </t>
  </si>
  <si>
    <t>Air Force Fiscal Year 2025 Young Investigator Program (YIP)</t>
  </si>
  <si>
    <t>Nonprofits having a 501(c)(3) status with the IRS, other than institutions of higher education The Fiscal Year 2025 Air Force Young Investigator Research Program (YIP) intends to support individual early in career scientists and engineers who have received Ph.D. or equivalent degrees by 01 April 2017 or later showing exceptional ability and promise for conducting basic research.
Individual awards are made to U.S. institutions of higher education, industrial laboratories, for- profit, or non-profit research organizations where the principal investigator (PI) is employed on a full-time basis and holds a regular, non-contractor position. A YIP PI must be a U.S. citizen, national, or permanent resident. Researchers working at a Federally Funded Research and Development Center, or a Department of Defense (DoD) Laboratory are not eligible for this competition.</t>
  </si>
  <si>
    <t>The Fiscal Year 2025 Air Force Young Investigator Research Program (YIP) intends to support individual early in career scientists and engineers who have received Ph.D. or equivalent degrees by 01 April 2017 or later showing exceptional ability and promise for conducting basic research. The program objective is to foster creative basic research in science and engineering; enhance early career development of outstanding young investigators; and increase opportunities for the young investigator to recognize the Air Force and Space Force mission and related challenges in science and engineering.
Individual awards are made to U.S. institutions of higher education, industrial laboratories, for- profit, or non-profit research organizations where the principal investigator (PI) is employed on a full-time basis and holds a regular, non-contractor position. A YIP PI must be a U.S. citizen, national, or permanent resident. Researchers working at a Federally Funded Research and Development Center, or a Department of Defense (DoD) Laboratory are not eligible for this competition.
YIP awards are funded up to $150,000 per year for three years, for a total of $450,000. No single year may exceed $150,000. Please review the remainder of this announcement for additional information.
Under this competition, an anticipated thirty-seven (37) traditionally funded YIPs and two YIPs funded in partnership with the Laboratory for Physical Sciences (LPS) in the Quantum Information Sciences research discipline may be awarded. There may be potential for an additional 37 YIPs funded from other AFOSR research funding. All actions are based on the availability of funds.</t>
  </si>
  <si>
    <t>STEWARDSHIP SCIENCE ACADEMIC ALLIANCES PROGRAM</t>
  </si>
  <si>
    <t>DOE-NNSA</t>
  </si>
  <si>
    <t>NNSA</t>
  </si>
  <si>
    <t>Public and State controlled institutions of higher education Nonprofits having a 501(c)(3) status with the IRS, other than institutions of higher education</t>
  </si>
  <si>
    <t>The Department of Energy’s (DOE), National Nuclear Security Administration’s (NNSA) Office of Defense Programs, directs research and development activities to maintain the safety, security, and effectiveness of the nation’s nuclear weapons stockpile. This nuclear deterrent remains a vital part of our national security infrastructure. It maintains strategic stability, deters potential adversaries, and reassures our allies and partners of our security commitments. Since 1992, the United States has observed the moratorium on underground nuclear testing while significantly decreasing the size of its nuclear arsenal. National Policy required NNSA and its weapons laboratories to institute the science-based Stockpile Stewardship Program (SSP) to ensure the safety, security, and effectiveness of the stockpile, while allowing the country to pursue a variety of nonproliferation and disarmament goals. The SSP combines sophisticated experiments, highly accurate physics modeling, and improved computational power to simulate and predict nuclear weapon performance over a wide range of conditions and scenarios.
The Stewardship Science Academic Alliances (SSAA) Program was established in 2002 to support state-of-the-art research at U.S. academic institutions in areas of fundamental physical science and technology of relevance to the SSP mission. The SSAA Program provides the research experience necessary to maintain a cadre of trained scientists and engineers at U.S. universities to meet the nation’s current and future SSP needs, with a focus on those areas not supported by other federal agencies. It supports the DOE/NNSA’s priorities both to address the workforce specific needs in science, technology, engineering, and mathematics and to support the next generation of professionals who will meet those needs.
The Office of Defense Programs announce their interest in receiving applications for new or renewal financial assistance awards for research grants in the SSAA Program. Researchers seeking renewals of their current SSAA grant should apply to this NOFO. The research areas of interest in the SSAA Program for this announcement are properties of materials under extreme conditions and material processing, low energy nuclear science, and radiochemistry.
Questions regarding the content of the announcement must be submitted through the FedConnect portal. You must register with FedConnect FedConnect - Gateway to Government Opportunities (test instance) to respond as an interested party to submit questions, and to view responses to questions. It is recommended that you register as soon after release of the NOFO as possible to have the benefit of all responses. DOE/NNSA will try to respond to a question within 3 business days unless a similar question and answer have already been posted on the website. All applications must be submitted through Grant.gov.
Questions and comments concerning this NOFO shall be submitted not later than 5 calendar days prior to the application due date. Questions submitted after that date may not allow the Government sufficient time to respond.
Questions relating to the registration process, system requirements, how an application form works, or the submittal process must be directed to Grants.gov at 1-800-518-4726 or support@grants.gov. DOE/NNSA cannot answer these questions.
Name:      Kristee Hall, Grants Management Specialist
Via:           https://www.fedconnect.net/FedConnect/default.htm</t>
  </si>
  <si>
    <t xml:space="preserve">Public and State controlled institutions of higher education </t>
  </si>
  <si>
    <t>AFRL FY24 DATA ASSIMILATION CENTER OF EXCELLENCE</t>
  </si>
  <si>
    <t>Others (see text field entitled "Additional Information on Eligibility" for clarification) This DA CoE competition is open only to, and proposals are to be submitted only by, U.S. institutions of higher education (universities) with degree-granting programs in science, technology, engineering, or mathematics. To the extent that it is part of a U.S. institution of higher education and is not designated as a Federally Funded Research and Development Center (FFRDC), a University Affiliated Research Center (UARC) is eligible to submit a proposal to this DA CoE competition. No other entities are eligible to submit applications under this competition. Any entities receiving subawards must meet these same criteria. Historically Black Colleges and Universities and Minority Serving Institutions and Tribal Colleges and Universities are encouraged to submit research proposals and join others in submitting proposals. However, no funds under this announcement are reserved or otherwise set-aside for any specific entity type.</t>
  </si>
  <si>
    <t xml:space="preserve">This Funding Opportunity Announcement (FOA) describes a newly proposed initiative of the Air Force Research Laboratory (AFRL) concerning standing up a University Center of Excellence (CoE) for “Data Assimilation (DA) Driven by Mathematical Features Representing Physics” with educational institutions in the United States. The University CoE is defined as a joint effort among multiple technical directorates (TDs) of the Air Force Research Laboratory to include: the Air Force Office of Scientific Research (AFOSR), Aerospace Systems Directorate (RQ), Space Vehicles Directorate (RV), and Munitions Directorate (RW), referred to collectively as “we, our, or us,” in this FOA, and an outstanding university or team of universities that will perform high priority unclassified and collaborative basic / applied (6.1/ 6.2) research which addresses the United States Air Force (USAF) and United States Space Force (USSF) research needs in the DA area with relevance to high-speed flows and combustion. </t>
  </si>
  <si>
    <t>Fiscal Year (FY) 2025 Department of Defense Multidisciplinary Research Program of the University Research Initiative (MURI)</t>
  </si>
  <si>
    <t>Others (see text field entitled "Additional Information on Eligibility" for clarification) This MURI competition is open only to, and proposals are to be submitted only by, U.S. institutions of higher education (universities) with degree-granting programs in science and/or engineering, including DoD institutions of higher education. To the extent that it is part of a U.S. institution of higher education and is not designated as a Federally Funded Research and Development Center (FFRDC), a University Affiliated Research Center (UARC) is eligible to submit a proposal to this MURI competition and/or receive MURI funds. Ineligible organizations (e.g., industry, DoD laboratories, FFRDCs, and foreign entities) may collaborate on the research but may not receive MURI funds directly or via subaward.</t>
  </si>
  <si>
    <t>Agency Name:
Air Force Office of Scientific Research
Description:
See full announcement in Related Documents folder for detailed descriptions of the SPECIFIC MURI TOPICS.
Grantor Contact Information:
If you have difficulty accessing the full announcement electronically, please contact
Katie Wisecarver
Program Coordinator
Phone 703-696-9544
Business Point of Contact</t>
  </si>
  <si>
    <t>Department of Army:FY25 Department of Defense Multidisciplinary Research Program of the University Research Initiative (MURI)</t>
  </si>
  <si>
    <t>Agency Name:
Army Research Office
The Department of Defense (DoD) Multidisciplinary University Research Initiative (MURI), one element of the University Research Initiatives (URI), is sponsored by the DoD research offices. Those offices include the Office of Naval Research (ONR), the Army Research Office (ARO), and the Air Force Office of Scientific Research (AFOSR) (hereafter collectively referred to as "DoD agencies" or “DoD”).
This publication constitutes a Funding Opportunity Announcement (FOA) as contemplated in the Department of Defense Grants and Agreements regulations (DoDGARS) 32 CFR 22.315(a). The DoD agencies reserve the right to fund all, some, or none of the proposals received under this FOA. The DoD agencies provide no funding for direct reimbursement of proposal development costs. Technical and budget proposals (or any other material) submitted in response to this FOA will not be returned. It is the policy of the DoD agencies to treat all white papers and proposals submitted under this FOA as sensitive competitive information and to disclose their contents only for the purposes of evaluation.
A formal Request for Proposals (RFP), solicitation, and/or additional information regarding this announcement will not be issued.
DoD's MURI program addresses high-risk basic research and attempts to understand or achieve something that has never been done before. The program was initiated over 35 years ago and it has regularly produced significant scientific breakthroughs with far reaching consequences to the fields of science, economic growth, and revolutionary new military technologies. Key to the program’s success is the close management of the MURI projects by Service Program Officers and their active role in providing research guidance.
Awards will take the form of grants. FOR ARO SUBMISSIONS ONLY, awards will take the form of grants and/or cooperative agreements. Any assistance instrument awarded under this announcement will be governed by the award terms and conditions that conform to DoD’s implementation of the Office of
Management and Budget (OMB) circulars applicable to financial assistance. Terms and conditions will reflect DoD implementation of OMB guidance in 2 CFR Part 200, “Uniform Administrative Requirements, Cost Principles, and Audit Requirements for Federal Awards.”</t>
  </si>
  <si>
    <t>Civil Works Strategic Focus Areas</t>
  </si>
  <si>
    <t xml:space="preserve">This notice is for a Commercial Solutions Opening (CSO) in support of civil works strategic focus areas. The USACE, and its Civil Works mission areas of commercial navigation, flood and coastal storm risk management, and aquatic ecosystem restoration, will play an essential role in energizing the US economy as we recover from recent crises and prepare for the future challenges facing our Nation. Investments in Civil Works are critical in generating near- and long-term benefits for securing our communities, supporting and growing our economy, creating jobs, and enhancing broader societal impacts such as improved public health, National security, recreation and tourism.
Award of a grant or cooperative agreement is subject to applicable terms and conditions of 2 CFR 200, 2 CFR 1104, DoD Grant and Agreement Regulations (DoDGARs), and DoD Research Terms and Conditions
Go to https://www.erdcwerx.org/civil-works-cso/ for details and submission instructions.
All solutions shall be submitted through ERDCWERX via the link above. Solutions for the strategic focus areas will be accepted beginning 23 May 2023 and ending 1700 CST 22 May 2024. </t>
  </si>
  <si>
    <t>FY25 Department of Defense Multidisciplinary Research Program of the University Research Initiative (MURI)</t>
  </si>
  <si>
    <t>DOD-ONR</t>
  </si>
  <si>
    <t>Office of Naval Research</t>
  </si>
  <si>
    <t>The Department of Defense (DoD) Multidisciplinary University Research Initiative (MURI), one element of the University Research Initiatives (URI), is sponsored by the DoD research offices. Those offices include the Office of Naval Research (ONR), the Army Research Office (ARO), and the Air Force Office of Scientific Research (AFOSR) (hereafter collectively referred to as "DoD agencies" or “DoD”).
This publication constitutes a Funding Opportunity Announcement (FOA) as contemplated in the Department of Defense Grants and Agreements regulations (DoDGARS) 32 CFR 22.315(a). The DoD agencies reserve the right to fund all, some, or none of the proposals received under this FOA. The DoD agencies provide no funding for direct reimbursement of proposal development costs. Technical and budget proposals (or any other material) submitted in response to this FOA will not be returned. It is the policy of the DoD agencies to treat all white papers and proposals submitted under this FOA as sensitive competitive information and to disclose their contents only for the purposes of evaluation.
A formal Request for Proposals (RFP), solicitation, and/or additional information regarding this announcement will not be issued.
DoD's MURI program addresses high-risk basic research and attempts to understand or achieve something that has never been done before. The program was initiated over 35 years ago and it has regularly produced significant scientific breakthroughs with far reaching consequences to the fields of science, economic growth, and revolutionary new military technologies. Key to the program’s success is the close management of the MURI projects by Service Program Officers and their active role in providing research guidance.
Awards will take the form of grants. FOR ARO SUBMISSIONS ONLY, awards will take the form of grants and/or cooperative agreements. Any assistance instrument awarded under this announcement will be governed by the award terms and conditions that conform to DoD’s implementation of the Office of
Management and Budget (OMB) circulars applicable to financial assistance. Terms and conditions will reflect DoD implementation of OMB guidance in 2 CFR Part 200, “Uniform Administrative Requirements, Cost Principles, and Audit Requirements for Federal Awards.”</t>
  </si>
  <si>
    <t>Office of Naval Research (ONR) Global Research Opportunity:  Global-X Challenge 2024</t>
  </si>
  <si>
    <t>Others (see text field entitled "Additional Information on Eligibility" for clarification) See full eligibility requirements in pages 2 - 3 of this announcement package, as well as Broad Agency Announcement N0001424SB001.</t>
  </si>
  <si>
    <t>The purpose of this Global-X Challenge is to discover, and ultimately provide a catalyst through a research grant, for subsequent development and delivery of revolutionary capability to the U.S. Navy and Marine Corps, the commercial marketplace, and the public. The expected outcomes of this Global-X Challenge are promising, potentially game-changing, concepts whose technology maturity may be accelerated under separate follow-on technology development efforts.</t>
  </si>
  <si>
    <t>Inflation Reduction Act Funding for Advanced Biofuels</t>
  </si>
  <si>
    <t>City or township governments The proposed prime recipient and subrecipient(s) must be domestic entities.
If the Prime Recipient is not a for-profit industry entity providing technical capability, then one or more for-profit entity industry partners providing technical capability must participate as Subrecipient(s) with aggregate effort equivalent to at least 20% of the total cost of the project.</t>
  </si>
  <si>
    <t>Inflation Reduction Act Funding for Advanced Biofuels Bioenergy Technologies Office’s 2024 Systems Development and Integration (SDI) FOA is funded by the Inflation Reduction Act (IRA) of 2022. IRA Section 60108(b) authorized $10 million to the Environmental Protection Agency (EPA) for new grants to industry in advanced biofuels. EPA and DOE entered an Interagency Agreement to transfer the funds to DOE and allow DOE to manage a FOA with substantial involvement from EPA. The FOA’s topic areas are of mutual interest for both the EPA’s priority in the Renewable Fuel Standard (RFS) program and DOE BETO’s priority in the Sustainable Aviation Fuel (SAF) Grand Challenge as well as SDI’s priority in supporting four demonstration-scale integrated biorefineries by 2030. For both topic areas, the application must discuss how the proposed technology would meet the RFS definition of advanced biofuel, which means using allowable feedstocks, producing allowable fuel types, and with lifecycle greenhouse gas emissions reductions of at least 50% compared to petroleum base baseline.</t>
  </si>
  <si>
    <t>Snow Water Supply Forecasting Program FY 2024</t>
  </si>
  <si>
    <t>DOI-BOR</t>
  </si>
  <si>
    <t>Bureau of Reclamation</t>
  </si>
  <si>
    <t xml:space="preserve">State governments </t>
  </si>
  <si>
    <t>The United States Department of the Interior (Department), Bureau of Reclamation’s (Reclamation) Snow Water Supply Forecasting Program (Program) aims to improve the skill of water supply forecasts via enhancing snow monitoring through the deployment of emerging technologies to complement existing monitoring techniques and networks. This new program was authorized in December 2020 by P.L. 116-260, Sec. 1111, Snow Water Supply Forecasting Program Authorization Act. The program was authorized for FY 2022 -FY 2026.Reservoir operations and related water management decisions rely on estimates of current and future water availability. These estimates depend on technologies to observe basin conditions such as snowpack. In many Western basins, snowpack and subsequent snowmelt runoff constitutes a significant portion of the annual water supply. Accordingly, monitoring snowpack is of great interest to water managers and water users alike. Traditionally, basin snowpack information is based on a sparse network of observing stations across large watersheds. These networks provide high quality information at station locations but extrapolating that information to an entire watershed is a challenge. This challenge, in large part, motivates the Program.As such, the NOFO invites proposals from eligible applicants that are invested in and capable of demonstrating emerging or deploying existing snow monitoring technologies and/or use of snow monitoring data to enhance water supply forecast skill. Considering this and the Act’s emphasis on partner agency coordination, strong applications will have partnerships with water management and forecasting entities to facilitate transfer of knowledge, foster use of data in forecasts, and evaluate utility of information for informing water management decisions. This supports Department of the Interior priority of addressing the drought crisis by providing water managers the best available information to inform the management of this scarce and critical resource.In Phase I, applicants submit technical proposals in the required format and length as specified in Section D.2.1.4 Project Proposal as well as with the required content. Submission to Phase I is required for Phase II consideration.Reclamation’s application review committee (ARC) will select a set of highly qualified applications from Phase I to move to Phase II of the application process. Submission to Phase I is required for Phase II consideration. If the selected applicants are not present for Phase II, their proposals are automatically disqualified from proceeding further and will be ineligible for an award. Phase II will entail a 30-minute virtual (web meeting) project/proposal “pitch” presentation to a review panel, followed by 20 minutes of question and answer with the review panel. Those selected to advance to Phase II will be notified of the presentation requirements and logistics with a minimum 4 weeks’ notice.</t>
  </si>
  <si>
    <t>Office of Postsecondary Education (OPE) Student Service: Gaining Early Awareness and Readiness for Undergraduate Programs (GEAR UP) State Grants, Assistance Listing Number 84.334S</t>
  </si>
  <si>
    <t>State governments Eligible Applicants:  States (as defined in section 103(20) of the HEA (20 U.S.C. 1003(20)), which includes the Commonwealth of Puerto Rico, the District of Columbia, Guam, American Samoa, the United States Virgin Islands, the Commonwealth of the Northern Mariana Islands, and the Freely Associated States.  Per congressional direction in House Report 117-403 2023 (Pub. L. 117-328), only States without an active State GEAR UP grant, or States that have an active State GEAR UP grant that is scheduled to end prior to October 1, 2024, are eligible to receive a new State GEAR UP award in this competition.  States with grants remaining open beyond October 1, 2024, for a no-cost extension period or for the sole purpose of data collection and analysis activities are not considered active for purposes of implementing this directive.</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</si>
  <si>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GEAR UP program is a discretionary grant program that encourages eligible entities to provide support, and maintain a commitment, to eligible students from low-income backgrounds, including students with disabilities, to assist the students in obtaining a secondary school diploma (or its recognized equivalent) and to prepare for and succeed in postsecondary education. Under the GEAR UP program, the Department awards grants to two types of entities: (1) States and (2) Partnerships consisting of at least one degree-granting institution of higher education (IHE) and at least one local educational agency (LEA).
Assistance Listing Number (ALN) 84.334S.</t>
  </si>
  <si>
    <t>Office of Postsecondary Education (OPE): Student Support Service: Gaining Early Awareness and Readiness for Undergraduate Programs (GEAR UP) Partnership Grants, Assistance Listing Number 84.334A</t>
  </si>
  <si>
    <t>Public and State controlled institutions of higher education 1.  Eligible Applicants:  Partnerships consisting of (a) at least one degree-granting IHE and (b) at least one LEA.  Partnerships may include not less than two other community organizations or entities, such as businesses, professional organizations, State agencies, institutions or agencies sponsoring programs authorized under the Leveraging Educational Assistance Partnership Program authorized in part A, subpart 4, of title IV of the HEA (20 U.S.C. 1070c et seq.), or other public or private agencies or organizations (20 U.S.C. 1070a-21(c)(2)). Note: A Partnership under this competition must follow the procedures under 34 CFR 75.127   75.129 in developing a group application.  This includes developing an agreement that details the activities that each member of the group plans to perform and binds each member of the group to every statement and assurance made by the applicant in the application.  This agreement must be submitted with the application.Note:  If you are a nonprofit organization, under 34 CFR 75.51, you may demonstrate your nonprofit status by providing: (1) proof that the Internal Revenue Service currently recognizes the applicant as an organization to which contributions are tax deductible under section 501(c)(3) of the Internal Revenue Code; (2) a statement from a State taxing body or the State attorney general certifying that the organization is a nonprofit organization operating within the State and that no part of its net earnings may lawfully benefit any private shareholder or individual; (3) a certified copy of the applicant's certificate of incorporation or similar document if it clearly establishes the nonprofit status of the applicant; or (4) any item described above if that item applies to a State or national parent organization, together with a statement by the State or parent organization that the applicant is a local nonprofit affiliate.</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</si>
  <si>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GEAR UP program is a discretionary grant program that encourages eligible entities to provide support, and maintain a commitment, to eligible students from low-income backgrounds, including students with disabilities, to assist the students in obtaining a secondary school diploma (or its recognized equivalent) and to prepare for and succeed in postsecondary education. Under the GEAR UP program, the Department awards grants to two types of entities: (1) States and (2) Partnerships consisting of at least one degree-granting institution of higher education (IHE) and at least one local educational agency (LEA).
Assistance Listing Number (ALN) 84.334A.</t>
  </si>
  <si>
    <t>Next Era of Wireless and Spectrum</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</si>
  <si>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By the submission deadline, any PI, co-PI, or other senior/key personnel must hold either:
 a tenured or tenure-track position, or 
 a primary, full-time, paid appointment in a research or teaching position 
at a US-based campus of an IHE or at a non-profit non-academic organization, with exceptions granted for family or medical leave, as determined by the submitting organization. Individuals with primary appointments at for-profit non-academic organizations or at overseas branch campuses of US IHEs are not eligible.</t>
  </si>
  <si>
    <t>The National Science Foundation's Directorates for Engineering (ENG), Computer and Information Science and Engineering (CISE), Mathematical &amp; Physical Sciences (MPS), and Social, Behavioral and Economic Sciences (SBE) are coordinating efforts to create fundamental understanding that will enablecontinued effective use of an essential common resource, the electromagnetic spectrum. Existing approaches to spectrum management and regulationhave struggled with the ever-increasing demands for spectrum created by continual emergence of new scientific, military, and commercial applications, powered by steady advances in wireless technologies. Development of fundamentally new models and paradigms of spectrum access and management, along with enabling technologies, is needed before it becomes too costly to accommodate new innovations and essential services, or too late to sustain the digital transformation and growth of key industries and public services. This program seeks to develop the intellectual capital enabling the U.S. to smoothly and quickly transition to effective new ways of using and managing the radio and optical spectrum after the end of the current spectrum era of long-term exclusive-use license auctions, thereby sustaining and advancing the social, economic, scientific, and U.S. national leadership benefits derived from the electromagnetic spectrum.</t>
  </si>
  <si>
    <t>Improving Undergraduate STEM Education: Computing in Undergraduate Education</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</si>
  <si>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-State and Local Governments: State educational offices or organizations and local school districts.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</si>
  <si>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Improving Undergraduate STEM Education:Computing in Undergraduate Education (IUSE: CUE) program aims to better prepare a wider, more diverse range of students to collaboratively use computation across a range of contexts and challenging problems. With this solicitation, the National Science Foundation focuses onre-envisioninghow to teach computing effectivelyto a broad group of students,in a scalable manner, with an emphasis on broadening participation of groups who are underrepresented andunderservedby traditional computing courses and careers.</t>
  </si>
  <si>
    <t>Artificial Intelligence, Formal Methods, and Mathematical Reasoning</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</si>
  <si>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
 Institutions of Higher Education (IHEs) - Two- and four-year IHEs (including community colleges) accredited in, and having a campus located in the US, acting on behalf of their faculty members. 
*Who May Serve as PI:
As of the date the proposal is submitted, any PI, co-PI, or senior/key personnel must hold either:
  a tenured or tenure-track position,or
  a primary, full-time, paid appointment in a research or teaching position
at a US-based campus of an organization eligible to submit to this solicitation (see above), with exceptions granted for family or medical leave, as determined by the submitting organization. Individuals withprimaryappointments at for-profit non-academic organizations or at overseas branch campuses of U.S. institutions of higher education are not eligible.</t>
  </si>
  <si>
    <t>The Artificial Intelligence, Formal Methods, and Mathematical Reasoning (AIMing) program seeks tosupport research at the interface of innovative computational and artificial intelligence (AI) technologies and new strategies/technologies in mathematical reasoning to automate knowledge discovery. Mathematical reasoning is a central ability of human intelligence that plays an important role in knowledge discovery. In the last decades, both the mathematics and computer science communities have contributed to research in machine-assisted mathematical reasoning, encompassing conjecture, proof, and verification. This has been in the form of both formal methods and interactive theorem provers, as well as using techniques from artificial intelligence. Recent technological advances have led to a surge of interest in machine-assisted mathematical reasoning from the mathematical sciences, formal methods, and AI communities. In turn, advances in this field have potential impact on research in AI.</t>
  </si>
  <si>
    <t>Computer Science for All</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</si>
  <si>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</si>
  <si>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This program aims to provide all U.S. students with the opportunity to participate in computer science (CS) and computational thinking (CT) education in their schools at the preK-12 levels. With this solicitation, the National Science Foundation (NSF) focuses on both research and research-practice partnerships (RPPs) that foster the research and development needed to bring CS and CT to all schools. Specifically, this solicitation aims to provide (1) high school teacherswith the preparation, professional development (PD) and ongoing support they need to teach rigorous computer science courses; (2) preK-8 teachers with the instructional materials and preparation they need to integrate CS and CT into their teaching; and (3) schools and districtswith the resources needed to define and evaluate multi-grade pathways in CS and CT.</t>
  </si>
  <si>
    <t>Global Centers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</si>
  <si>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</si>
  <si>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This solicitation describes an ambitious program to fund international, interdisciplinary collaborative research centers that will apply best practices of broadening participation and community engagement to develop use-inspired bioeconomy research to address one or more global challenges identified by the scientific community. Here, the "used-inspired" nature of the research refers to project outcomes leading to foreseeable benefits to society. This program will prioritize research collaborations that foster team science and community-engaged research, use knowledge-to-action frameworkswhose rationale, conceptualization, and research directions are driven by the potential use of the results as illustrated by Pasteur’s Quadrant (see Stokes, Donald E. (1997), "Pasteur's Quadrant - Basic Science and Technological Innovation," Brooking Institution Press, p.196. ISBN 9780815781776).Proposals should also indicate how research will be co-generated with communities and stakeholders identified in the proposal. The proposed research should maximize the benefits of international, interdisciplinary collaborations, and describe the roles and responsibilities of each national team in achieving the goals of the proposed Global Center. Global Centers projects involving partnership between the U.S. and two or more partner countries are strongly encouraged. Global challenges must be addressed through international collaboration and researchers are encouraged to develop international teams to address research questions that can only be addressed through multilateral efforts. The topic for the 2024 competition of the Global Centers program is Addressing Global Challenges through the Bioeconomy and may include research from any combination of research disciplines supported by NSF. The Bioeconomy is the share of the economy based on products, services, and processes derived from living systems.Research investments to advance the bioeconomy serve to accelerate scientificdiscovery and to enable the harnessing, engineering, and rational modulation ofbiological systemsto create goods and services that contribute to the agriculture,health, security, manufacturing, energy, and environmental sectors of the global economy; or that provide access to unique systems that help us understand the processes and issues that we can use biotechnology to solve. Bioeconomy is built on the foundation of biotechnology and biomanufacturing, and in addition to biological science and engineering includes contributions from fields such as chemistry, materials science, geosciences, mathematics, data sciences, humanities, and the social sciences. The world is facing many serious challenges, including, but not limited to, adapting to or mitigating the effect of climate change, developing clean energy approaches, identifying and advancing sustainable food systems, addressing water insecurity, exploring solutions to emerging infectious diseases, creating resource efficiency, sustaining biodiversity, addressing inequalities in access to biotechnologies, and developing a circular bioeconomy. For example, bio-based materials offer heightened biodegradability and biosafety as compared to reusable plastic materials that shed microplastics during use and washing and affect water security and human health. This Global Centers solicitation in Bioeconomy offers a unique opportunity for interdisciplinary teams of scientists, educators, and practitioners to use knowledge of the bioeconomy to co-develop and execute a research plan for an international center that will address a global challenge facing humanity. The Global Centers program is meant to support multidisciplinary research that can only be achieved through international partnerships uniting complementary areas of expertise, and/or facilitating access to unique expertise or resources of the participating countries. The proposal should explain how the center will maximize the benefits of international collaborations and describe the unique contributions and the roles and responsibilities of each national team in achieving the goals of the proposed Global Center. Successful proposals will describe how the center will tackle a global challenge that can only be addressed through the diversity of knowledge, skills, and resources united in this center. Addressing global challenges requires international engagement and must go beyond production of data to demonstrate how co-generation and co-production of research with stakeholder groups can maximize the chances of research outcomes being taken up by target groups and applied to address the global challenge. Because change requires human involvement, this process, described as the Knowledge to Action framework explicitly recognizes the need to involve appropriate scientific experts and practitioners who study and work with humans in implementing the human action aspect of the framework. Examples of human action include (but are not limited to) studies in human and societal behavior, in policy, economics, psychology, anthropology, or education. Proposals are expected to describe a center that fully integrates human action elements with the knowledge generation portions of the center to produce a holistic, multi-disciplinary center that is greater than the sum of its parts. The center should offer a plan of research in which disciplines are integrated and complement and support each other to produce world class research, train the next generation of workforce, and use best practices to ensure that participant communities and stakeholder groups are involved in all stages of the research process so that outcomes are aligned with their needs and readily adoptable. Within the general theme of Bioeconomy, proposals submitted in the framework of this call must be centered on either or both of the two subtopics: Subtopic 1: Leveraging Biodiversity Across the Tree of Life to Power the Bioeconomy; and Subtopic 2: Biofoundries, using the Design-Build-Test-Learn process in biology. All proposals must integrate both of the two crosscutting themes into the proposed work: Crosscutting Theme A: Public engagement and co-generation of research activities to strengthen the global science and technology enterprise; andCrosscutting Theme B: Workforce Development and Education. See Section II, Program Description for details.</t>
  </si>
  <si>
    <t>Ideas Lab: Use-Inspired Acceleration of Protein Design</t>
  </si>
  <si>
    <t>Others (see text field entitled "Additional Information on Eligibility" for clarification) *Who May Submit Proposals: Proposals may only be submitted by the following:
  -Foreign organizations: For cooperative projects involving U.S. and foreign organizations, support will only be provided for the U.S. portion.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
*Who May Serve as PI:
There are no restrictions or limits.</t>
  </si>
  <si>
    <t>The U.S. National Science Foundation’s Directorate for Technology, Innovation and Partnerships (TIP) is charged with accelerating use-inspiredand translationalresearch and development (R&amp;D) to advance U.S. competitiveness in key technology focus areas. The Use-Inspired Acceleration of Protein Design (USPRD) initiative will accelerate the translation of novel approaches to protein design and enable new applications of importance to the U.S. bioeconomy. Significant advances have been made in the ability of researchers to predict the three-dimensional (3D) structure of proteins from primary sequence, and to use that information to design proteins with desired characteristics. These advances have been enabled by: macromolecular modeling; training data available in repositories such as the Protein Data Bank (PDB); the application of artificial intelligence (AI) and machine learning; and high-throughput protein characterization. The improved accuracy of in-silico design has reduced the number of constructs that need to be validated in costly and time-consuming “wet lab” experiments. USPRD aims to advance protein design and its applications to the next level by:
A. Accelerating the use of protein design technologies to enable applications beyond human therapeutics, e.g., applications to advanced materials, biomanufacturing, agriculture and food security, environmental remediation, sustainability, and climate-related challenges.
B. Extending the range of accurate prediction models to enable the design of enzymes and families of enzymes. This will require models and tools that account for the dynamic nature of protein structures. USPRD seeks significant breakthroughs in the application of protein design through:
a) Use-driven activities that design novel proteins with specific characteristics and demonstrate their application, e.g., the design and characterization of specific enzymes or enzyme families that promote sustainability by degrading specific bio-contaminants.
b) Infrastructure components, such as software tools, datasets, and characterization services that can readily be accessed by protein designers.
c) Designer-facing components that will ensure the accessibility of the infrastructure components and collaboration with protein designers engaged in the third-party use-driven activities.
d) Ecosystem components, such as standards and roadmaps, that help coordinate the actions of multiple parties within the emerging ecosystem. This may also include open-source software and/or data repositories.
e) Workforce components focused on the training of translational talent with the skills and passion to engage in use-driven protein design activities. USPRD will use the Ideas Lab process (see PAPPG Chapter II.F.6),starting with an intensive meeting that brings together multiple diverse perspectives. A key aim of this Ideas Lab workshop will be to identify an aggressive (but attainable) set of use-driven activities together with the infrastructure component breakthroughs, designer-facing components, and ecosystem components required to realize them. USPRD includes two tracks:
Track I. Use-driven application for small binders.
Track II. The design and use of enzymes and families of enzymes.</t>
  </si>
  <si>
    <t>Ideas Lab: Advancing Cell-Free Systems Toward Increased Range of Use-Inspired Applications</t>
  </si>
  <si>
    <t>Others (see text field entitled "Additional Information on Eligibility" for clarification) *Who May Submit Proposals: Proposals may only be submitted by the following:
  -Foreign organizations: For cooperative projects involving U.S. and foreign organizations, support will only be provided for the U.S. portion.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</si>
  <si>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U.S. National Science Foundation’s Directorate for Technology, Innovation and Partnerships (TIP) is charged with accelerating use-inspiredand translationalresearch and development (R&amp;D) to advance U.S. competitiveness in key technology focus areas. The Advancing Cell-Free Systems Toward Increased Range of Use-Inspired Applications (CFIRE) initiative will accelerate the adoption of cell-free systems, enable new applications of this technology and contribute to the growth of the U.S. bioeconomy. A nascent industry has formed around the ability to carry out biochemical processes, such as DNA transcription/translation, in cell-free in-vitro systems instead of in traditional cell-based in-vivo bio-reactors. This approach has a number of potential advantages, including rapid turn-around, distributed and highly retargetable manufacturing, high-fidelity instrumentation and control of the manufacturing environments – without the constraints of biological growth and the interference caused by cell biomass and cell membranes during product purification. Furthermore, cell-free systems can produce products that are challenging to manufacture in cell-based cultures, such as those inherently toxic to cells or hydrocarbon products that are consumed by the cellular machinery. Despite these advantages, present-day cell-free manufacturing is significantly more expensive than cell-based methods and cell-free systems have a limited range of applications. CFIRE aims to:
1. Reduce the cost of cell-free systems;
2. Increase the range and capabilities of cell-free systems; and
3. Develop and demonstrate cost-effective use-inspired applications. CFIRE will address the key limitations of cell-free technology by identifying technical approaches that can enable ongoing cycles of improvement. The objective is to place cell-free technology on an exponential growth path in which reduced costs lead to increasing adoption which, in turn, generates the learning and investment required to further reduce costs. In order to keep the work focused and to stimulate increasing adoption, efforts funded through this initiative will focus on one or more specific use cases. CFIRE seeks significant breakthroughs that will accelerate the adoption of cell-free systems by:
(a) Demonstrating the feasibility and advantages of cell-free systems through use-inspired applications with specific emphasis on applications beyond human therapeutics;
(b) Creating infrastructure components, such as tools, protocols, kits, datasets, and characterization services that can readily be accessed by third parties; and
(c) Investing in workforce components focused on the training of translational talent with the skills and passion to engage in use-driven cell-free applications. CFIRE will use the Ideas Lab process (see PAPPG Chapter II.F.6), starting with an intensive meeting that brings together multiple diverse perspectives. The primary objectives of this Ideas Lab workshop will be to: identify specific opportunities to significantly reduce the cost of cell-free systems; establish acceptable standards for the fidelity and reproducibility; expand the range of capabilities in order to facilitate broader adoption of the technology; and identify and prioritize use-driven applications beyond human therapeutics.</t>
  </si>
  <si>
    <t>Ideas Lab: Breaking the Low Latency Barrier for Verticals in Next-G Wireless Networks</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</si>
  <si>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-State and Local Governments: State educational offices or organizations and local school districts.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</si>
  <si>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U.S. National Science Foundation’s Directorate for Technology, Innovation and Partnerships (TIP) is charged with accelerating use-inspiredand translationalresearch and development (R&amp;D) to advance U.S. competitiveness in key technology focus areas. The Breaking the Low Latency Barrier for Verticals in Next-G Wireless Networks (Breaking Low)initiative will accelerate and enable new technologies and contribute to the growth of the U.S. economy in advanced wireless communications. TIP is seeking to identify and address critical architectural, technical and technological issues that must be resolved in fifth-generation (5G) and next generation (Next-G) wireless networks to provide the necessary low-latency performance that is required for the success of key emerging vertical industries. Most current public cellular deployments are unable to support end-to-end (E2E) latencies that are consistently below 10 milliseconds (ms) and Wireless Local Area Network (WLAN) latencies below 10 ms are possible only under certain favorable conditions (low network load, high bandwidth) even with Wi Fi 6 (IEEE 802.11ax). The Next-G mobile network use cases are expected to demand even more stringent latency and reliability requirements as network designers seek to raise the bar with better performance. A closer examination of the current state of the art reveals that there are critical bottlenecks at various points in the end-to-end network path from the application to the cloud resulting from the existing design, architectural, protocol, processing, optimization and implementation choices across both control and user planes, as well as the lack of low-latency vertical applications-driven technology development. This solicitation describes an Ideas Lab focused on low-latency wireless networks and vertical applications that rely on them to:
a) identify cost-effective novel approaches that have the potential to break the hurdles that exist in today’s networks, including 5G/Next-G cellular, WLAN, access and cloud components, to meet the end-to-end low-latency and high-reliability targets required to enable specific emerging vertical use cases;
b) formulate and execute a coherent research and development (R&amp;D) plan that will lead to the technological advances necessary to engineer Next-G advanced wireless networks that meet the desired low-latency and high-reliability demands of identified vertical applications; and
c) prototype and demonstrate the developed technology solutions in at-scale testbeds for specific vertical use cases under a wide range of relevant network conditions. The Ideas Lab Workshop is an interactive gathering of experts and stakeholders interested in collaboratively developing potential solution approaches to a specific problem or a grand challenge. It is expected to be a three-day-long intensive and focused meeting. The participants are drawn from diverse backgrounds and a broad range of expertise areas relevant to the posed problem of interest. The goal is to facilitate a brainstorming effort among a team of experts who may not otherwise come together to solve the specific posed problem though all their experiences, expertise and the needs are very much relevant to the problem. Hence, ideally, the participants are expected not to have had significant prior research or technology development interactions among them. This Ideas Lab workshop, in particular, aims to bring together, and facilitate a dialogue among a group of innovators with diverse perspectives, experiences and expertise to stimulate creative thinking and collaborative spirit to develop and validate innovative low latency communications technologies that will help meet, and possibly exceed, Next-G mobile wireless network specifications to spur a great number of emerging applications within multiple vertical industries that will transform the way we live and interact with each other. It is expected that the participation of key stakeholders and experts from low-latency vertical application use cases in the Ideas Lab workshop, in addition to the networking/computing researchers and technical experts, may contribute to achieving the goals of this Ideas Lab program. The solicitation expects robust partnerships between both academia and industry in the wireless telecom, vertical application and cloud computing sectors to co-design solutions to meet the requirements of specific low-latency verticals including rapid prototyping, testing, validation and at-scale pilot demonstrations. It is the belief of NSF that adoption of the resultant solutions will be hastened through such partnerships and thus NSF encourages applications from both academia and industry (both wireless as well as application verticals).</t>
  </si>
  <si>
    <t>Division of Environmental Biology</t>
  </si>
  <si>
    <t>The Division of Environmental Biology (DEB) Coresupports research and training on evolutionary and ecological processes acting at the level of populations, species, communities, ecosystems, macrosystems, and biogeographic extents. DEB encourages research that elucidates fundamental principles that identify and explain the unity and diversity of life and its interactions with the environment over space and time. Research may incorporate field, laboratory, or collection-based approaches; observational or manipulative studies; synthesis activities; phylogenetic discovery projects; or theoretical approaches involving analytical, statistical, or computational modeling. Proposals should be submitted to the core clusters (Ecosystem Science, Evolutionary Processes, Population and Community Ecology, and Systematics and Biodiversity Science). DEB also encourages interdisciplinary proposals that cross conceptual boundaries and integrate over levels of biological organization or across multiple spatial and temporal scales.Research addressing ecology and ecosystem science in the marine biome should be directed to the Biological Oceanography Program in the Division of Ocean Sciences; research addressing evolution and systematics in the marine biome should be directed to the Evolutionary Processes or Systematics and Biodiversity Science programs in DEB.
All programs in the Directorate for Biological Sciences strive to achieve the goals laid out in theNSF Strategic Plan. Among these goals are: (i) to empower Science Technology, Engineering, and Mathematics (STEM) talent to fully participate in science and engineering; (ii) to enable creation of new knowledge by advancing the frontiers of research and enhancing research capability; and (iii) to benefit society through translation of knowledge into solutions.In line with these goals,DEB welcomes the submission of proposals to this funding opportunity that include the participation of the full spectrum of diverse talent in STEM, e.g., as PI, co-PI, senior personnel, postdoctoral scholars, graduate or undergraduate students or trainees.  This includes historically under-represented or underserved populations, diverse institutions including Minority Serving Institutions (MSIs), Primarily Undergraduate Institutions (PUIs), and two-year colleges, as well as major research institutions. Proposals from EPSCoR jurisdictions are especially encouraged. Also aligned with the NSF Strategic Plan, DEB encouragessubmission of proposals in support of discovery-based explorations, as well as use-inspired, solutions-focused research, including proposals that address priority areas associated with building a resilient planet and biotechnology and the bioeconomy. Someexamples of topics that address priority areas associated with building a resilient planet and biotechnology and the bioeconomy can be found in thelife on a warming planetandbioeconomymetaprogram descriptions. TheCHIPs Act of 2022and theExecutive Order on Advancing Biotechnology and Biomanufacturing Innovation for a Sustainable, Safe and Secure American Bioeconomyhighlight the importance of these two areas with respect to safeguarding national security and promoting prosperity. DEB also strongly encourages proposals that leverage NSF resources that facilitate integration across the biological sciences, such as the National Ecological Observatory Network (NEON), data networks, synthesis centers, and institutes.</t>
  </si>
  <si>
    <t>FY 2024 Reaching a New Energy Sciences Workforce (RENEW)</t>
  </si>
  <si>
    <t>Unrestricted (i.e., open to any type of entity above), subject to any clarification in text field entitled "Additional Information on Eligibility" In order to support traineeships for students and postdoctoral researchers from non-R1 Emerging Research Institutions (ERIs) and non-R1 Minority Serving Institutions (MSIs) in areas relevant to SC programs, applications must be led by either a non-R1 ERI or a non-R1 MSI. Any domestic entity may be proposed as a team member, either as a subrecipient or using the collaborative application process.</t>
  </si>
  <si>
    <t>Reaching a New Energy Sciences Workforce (RENEW) aims to build foundations for Office of Science (SC) research through traineeships at academic institutions that have been historically underrepresented in the SC portfolio. RENEW leverages SC’s unique national laboratories, user facilities, and other research infrastructure to provide training opportunities for students and postdoctoral researchers from these institutions. The hands-on experiences gained through RENEW will open new career avenues for trainees, forming a nucleus for a future pool of talented young scientists, engineers, and technicians with the critical skills and expertise needed for the full breadth of SC research activities. 
﻿RENEW supports traineeships for students and postdoctoral researchers from non-R1 Emerging Research Institutions (ERIs)[1] and non-R1 Minority Serving Institutions (MSIs)[2],[3] in areas relevant to SC programs. SC seeks applications to develop traineeships for participants from these institutions that involve conducting research in partnership with a DOE-affiliated institution, including DOE National Laboratories, SC user facilities, Bioenergy Research Centers, or DOE Isotope Program Production Sites. Traineeships may include partnerships with multiple DOE-affiliated partner institutions to learn about the diversity and breadth of science conducted by the Office of Science.
Undergraduate traineeships should include hands-on research experience to foster greater understanding of the research process, such as how to identify knowledge gaps and develop effective hypotheses, how to test hypotheses, and how to work within a team structure to accomplish an objective. The proposal should describe how the traineeship will accommodate differences in preparation among trainees. Traineeships for graduate students or postdoctoral researchers should be appropriately scaled for the development of future leaders in their research field. Trainees should have the opportunity to actively engage in meaningful and diverse research tasks, maximizing their involvement and learning experience. Trainee involvement should not be limited to routine, simple tasks in the laboratory or literature research. Traineeships should engage the trainee on a regular basis (e.g., weekly).
Traineeships should also include complementary activities for trainees’ professional development and career advancement, including efforts to build or reinforce STEM identity and sense of belonging. This could include research presentations, participation in scientific research meetings, lectures, mentoring (discussed further below), or developing new content to connect research to academic curriculum.
Trainees are participants in and beneficiaries of a structured, substantive STEM training program with measurable expectations and a duration and intensity substantial enough to achieve both short-term and long-term training outcomes. Research has shown that long-term, year-round experiences build students’ commitment to their fields and increase their confidence that they can succeed.[4],[5] Preference will be given to applications that provide compensation comparable to the cost of living or provide support for students such as guaranteed housing. To achieve this objective, a significant portion of the proposed budget must be allocated for trainee support.
[1] Emerging research institution was defined in the CHIPS and Science Act of 2022. Federal research expenditures are based on the National Science Foundation’s Higher Education Research and Development Survey: Fiscal Year 2021 (https://ncses.nsf.gov/surveys/higher-education-research-development/2021).
[2] The Carnegie Classification of Institutions of Higher Education can be found at https://carnegieclassifications.acenet.edu. A list of institutions with very high research activity (R1 institutions) is available at https://carnegieclassifications.acenet.edu/institutions/?basic2021__du%5B%5D=15.
[3] MSI designations are based on the Department of Education eligibility matrix (https://www2.ed.gov/about/offices/list/ope/idues/eligibility.html). Eligible MSIs are listed as Asian American and Native American Pacific Islander Serving Institutions (AANAPISIs), Alaska Native and Native Hawaiian Serving Institutions (AANHs), Hispanic Serving Institutions (HSIs), Native American Serving Non-Tribal Institutions (NASNTI), Predominantly Black Institutions (PBIs), Historically Black Colleges and Universities (HBCUs), and Tribally Controlled Colleges and Universities (TCCUs). For the purposes of this FOA, institutions marked in the eligibility matrix as either being eligible to receive funding or as receiving funding will be considered an MSI.
[4] https://doi.org/10.1187/cbe.11-11-0098
[5] https://doi.org/10.1002/tea.21341</t>
  </si>
  <si>
    <t>Others (see text field entitled "Additional Information on Eligibility" for clarification) Eligibility for all programs listed in this NOFO is open to all non-Federal entities. Eligible applicants include institutions of higher education, non-profit organizations, for-profit organizations, state and local governments, Indian tribes, hospitals, foreign public entities, and foreign governments. NIST seeks to collaborate with a wide range of organizations and encourages minority-serving institutions of higher education to apply. Please note that individuals and unincorporated sole proprietors are not considered  non-Federal entities  and are not eligible to apply under this NOFO.</t>
  </si>
  <si>
    <t>NIST’s mission is to drive innovation and industrial competitiveness through measurement science and standards by cultivating a culture of belonging that integrates diversity, equity, inclusion, and accessibility in all ways of working. One component of this mission is NIST’s ongoing effort to develop a diverse, world-class pool of scientists and engineers to engage in NIST's measurement science and standards research, and to support the development of a general population that understands and appreciates measurement science and standards. NIST also seeks to collaborate with a wide range of organizations, including but not limited to minority-serving institutions such as Historically Black colleges and universities, as well as community colleges, in support of NIST's mission.
This funding opportunity will result in the award of grants or cooperative agreements.</t>
  </si>
  <si>
    <t>FY2024 CHIPS R D National Advanced Packaging Manufacturing Program (NAPMP) Materials   Substrates</t>
  </si>
  <si>
    <t>Others (see text field entitled "Additional Information on Eligibility" for clarification) Eligible applicants include domestic for-profit and non-profit organizations; accredited domestic institutions of higher education including community and technical colleges; and state, local, territorial, and Indian tribal governments. Eligible applicants may only submit one full application under this NOFO. Entities may not be included as subrecipients on more than two applications.</t>
  </si>
  <si>
    <t>The CHIPS Research and Development Program (CHIPS R&amp;D) aims to advance the development of semiconductor technologies and to enhance the competitiveness of the U.S. semiconductor industry. This is the first Notice of Funding Opportunity under this program. It seeks applications for new research and development (R&amp;D) activities to establish and accelerate domestic capacity for advanced packaging substrates and substrate materials, a key technology for producing microelectronics systems.</t>
  </si>
  <si>
    <t>Scientific Feasibility (SciFy)</t>
  </si>
  <si>
    <t>Others (see text field entitled "Additional Information on Eligibility" for clarification) All responsible sources capable of satisfying the Government's needs may submit a proposal that shall be considered by DARPA.  See the Eligibility Information section of the BAA for more information.</t>
  </si>
  <si>
    <t>The Defense Advanced Research Projects Agency (DARPA) is soliciting innovative and revolutionary computational approaches that measure the feasibility of technical claims to enable accurate assessments of scientific content.</t>
  </si>
  <si>
    <t>Material Synthesis Technologies for Universal and Diverse Integration Opportunities (M-STUDIO)</t>
  </si>
  <si>
    <t>The Defense Advanced Research Projects Agency (DARPA) is soliciting innovative proposals in the following technical areas: development of a nano-scale heterogeneous material synthesis on lattice mismatch substrates to realize defect-free multi-layer heterogenous junctions with atomically sharp surface/interface and atomically abrupt compositional transition. Proposed research should investigate innovative approaches that enable revolutionary advances in science, devices, or systems. Specifically excluded is research that primarily results in evolutionary improvements to the existing state of practice.</t>
  </si>
  <si>
    <t>NRL Long Range Broad Agency Announcement (BAA) for Basic and Applied Research</t>
  </si>
  <si>
    <t>DOD-ONR-NRL</t>
  </si>
  <si>
    <t>Naval Research Laboratory</t>
  </si>
  <si>
    <t>The Naval Research Laboratory is interested in receiving innovative proposals that offer potential for advancement and improvement in the technical topic areas listed. This notice constitutes a Broad Agency Announcement (BAA) as contemplated in FAR 6.302(d) that provides for the competitive selection of research proposals. The Government reserves the right to select for award all, some, or none of the proposals received. Awards under this BAA are expected to take the form of Contracts, Grants, Cooperative Agreements and Other Transactions may also be awarded if appropriate. NRL encourages Educational Institutions, Small Businesses (SBs), Small Disadvantaged Business Concerns (SDBs) and Historically Black Colleges and Universities (HBCUs) and Minority Institutions (MIs) to submit proposals under this BAA.
In order to conserve valuable offeror and Government resources, prospective offerors shall first submit a White Paper (WP) to the email address identified in the individual Summary Topics contained in Appendix 1, to include a rough cost estimate. If there is interest in the proposed research the offeror will be invited to submit a Formal Proposal. The selection of proposals for award will be based on a scientific review of proposals submitted in response to each BAA Summary Topic. The major purpose of the evaluation will be to determine the relative merit of the technical approach of each proposal. Business and contractual aspects, including proposed cost and cost realism, will also be considered as part of the evaluation. Selection of proposals for award will be based on the potential benefits to the Government weighed against the cost of the proposals, in view of the availability of funds. The complete BAA including proposal preparation instructions, award considerations, and evaluation criteria is also available at https://www.nrl.navy.mil/Doing-Business/Contracts/Broad-Agency-Announcements/ .</t>
  </si>
  <si>
    <t>ROSES 2024: F.7 Support for Open-Source Tools, Frameworks, and Libraries</t>
  </si>
  <si>
    <t xml:space="preserve">Please note that this program requests optional Notices of Intent, which are due via NSPIRES by May 3,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2 and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2 or 3 of this NRA at http://solicitation.nasaprs.com/ROSES2024table2 and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“C.8 Lunar Data Analysis Program (.pdf)” to download the text of the call. If one wanted to set it into the context of the goals, objectives and know the default rules for all elements within Appendix C, the planetary science division, one might download and read “C.1 Planetary Science Research Program Overview (.pdf)”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https://science.nasa.gov/researchers/sara/library-and-useful-links (link from the words due date calendar). </t>
  </si>
  <si>
    <t>University Leadership Initiative (ULI)</t>
  </si>
  <si>
    <t>Amendment 2 to the NASA ARMD Research Opportunities in Aeronautics (ROA) 2024 NRA has been posted on the NSPIRES web site. University Leadership Initiative (ULI) provides the opportunity for university teams to exercise technical and organizational leadership in proposing unique technical challenges in aeronautics, defining multi-disciplinary solutions, establishing peer review mechanisms, and applying innovative teaming strategies to strengthen the research impact.
Research proposals are sought in six ULI topic areas in Appendix D.4.
Topic 1: Safe, Efficient Growth in Global Operations (Strategic Thrust 1)
Topic 2: Innovation in Commercial High-Speed Aircraft (Strategic Thrust 2)
Topic 3: Ultra-Efficient Subsonic Transports (Strategic Thrust 3)
Topic 4: Safe, Quiet, and Affordable Vertical Lift Air Vehicles (Strategic Thrust 4)
Topic 5: In-Time System-Wide Safety Assurance (Strategic Thrust 5)
Topic 6: Assured Autonomy for Aviation Transformation (Strategic Thrust 6)
This NRA will utilize a two-step proposal submission and evaluation process. The initial step is a short mandatory Step-A proposal due May 29, 2024. Those offerors submitting the most highly rated Step-A proposals will be invited to submit a Step-B proposal. All proposals must be submitted electronically through NSPIRES at https://nspires.nasaprs.com.
An Applicant’s Workshop will be held on Thursday Apr 3, 2024; 1:00-3:00 p.m. ET (https://uli.arc.nasa.gov/applicants-workshops/workshop8).
An interested partners list for this ULI is at https://uli.arc.nasa.gov/partners. To be listed as an interested lead or partner, please send electronic mail to hq-univpartnerships@mail.nasa.gov with "ULI Partnerships" in the subject line and include the information required for the table in that web page.</t>
  </si>
  <si>
    <t>Advanced Air Vehicles Program (AAVP)</t>
  </si>
  <si>
    <t>Amendment 1 to the NASA ARMD Research Opportunities in Aeronautics (ROA) 2024 NRA has been posted on the NSPIRES web site. The announcement solicits proposals from accredited U.S. institutions for research training grants to begin the academic year. This NOFO is designed to support independently-conceived research projects by highly qualified graduate students, in disciplines needed to help advance NASA’s mission, thus affording these students the opportunity to directly contribute to advancements in STEM-related areas of study. AAVP Fellowship Opportunities are focused on innovation and the generation of measurable research results that contribute to NASA’s current and future science and technology goals. Research proposals are sought to address key challenges provided in Elements of Appendix A.8. Notices of Intent (NOIs) are not required. A budget breakdown for each proposal is required, detailing the allocation of the award funds by year. The budget document may adhere to any format or template provided by the applicant's institution. Two pre-proposal teleconferences for potential proposers will be held and meeting links will be posted on NSPIRES. Proposals are due April 30, 2024, 5PM ET.</t>
  </si>
  <si>
    <t>Confronting Hazards, Impacts and Risks for a Resilient Planet</t>
  </si>
  <si>
    <t xml:space="preserve">The Confronting Hazards, Impacts and Risks for a Resilient Planet Program (CHIRRP) invites projects focusing on innovative and transformative research that advances Earth system hazard knowledge and risk mitigation in partnership with affected communities. Hazards compounded by changing climates, rising populations, expanding demands for resources, aging infrastructure, and increasing reliance on technology are putting our economy, well-being, and national security at risk. Researchers, academics, and community leaders will work together to develop community-driven research questions and actionable, science-based solutions that increase community resilience now and in the future. CHIRRP projects are expected to advance understanding, forecasting and/or prediction of future Earth system hazards and risks, engage communities in development of research questions and approaches, and produce actionable, science-based solution pathways for adaptation methodologies, products, and services. CHIRRP projects may evaluate a single or system of cascading hazards, impacts, and risks at a local, regional, or global scale through the lens of transformative earth system science research. Competitive projects will engage community partners at all stages of a project from development to implementation. CHIRRP currently supports planning, conference, RCNs, EAGER, and RAISE proposals that support development of community partnerships, provide training for effective community engagement, catalyze ideas, and/or support the initial conceptualization, planning and collaboration activities aimed at formulating new and sound plans for future large-scale projects. CHIRRP Elements  
CHIRRP projects will demonstrate convergence of three essential elements: (1) Equitable Community Partnerships; (2) an Earth System Science approach to advance knowledge of hazards, impacts, and risks and (3) Actionable Solutions that increase resilience. The initiative seeks solutions to existing as well as next-generation Earth system hazards1. Build Equitable Community Partnerships: CHIRRP projects will serve a community and equitably co-produce project research questions and solutions. CHIRRP teams will bring together community members with direct knowledge of hazard impacts and community priorities and researchers with expertise in the natural and human dimensions of the Earth system. Partners may include, but are not limited to, local governments, Tribal Nations, civil society organizations, youth groups, and non-government organizations (NGOs). Robust partnerships are responsive to community priorities, may involve a social science component, and lead to actionable solutions that increase community resilience. Advance Earth System Science: Generating practical and foundational knowledge on many of the nation's most urgent challenges requires a systems approach to understand the highly interdependent and complex natural and human components of the Earth system. CHIRRP projects will innovate and advance Earth System Science approaches that explore dynamic interactions and couplings among natural and social processes that affect Earths capacity to sustain the well-being of communities, infrastructure, and national security.
Evaluate Actionable Science-Based Solutions: CHIRRP deliverables include co-produced innovative, science-based actionable solution pathways that mitigate future hazards, impacts, and risks. Multiple solutions may exist, and new solutions may emerge in the future. CHIRRP projects will inform pathways to resilience through evaluation of different solutions informed by the advancement of earth systems knowledge delivered from the project. An understanding of risk, vulnerability and resilience necessarily entails an understanding of relevant social dynamics including methods and analysis to identify how the impacts of hazards may disproportionately affect specific segments of a community or region. Solutions should be responsive to community priorities, including objectives such as reducing Earth system hazard related risk, increasing resilience, and advancing equity.
1National Academies of Sciences, Engineering, and Medicine. 2022. Next Generation Earth Systems Science at the National Science Foundation. Washington, DC: The National Academies Press. https://doi.org/10.17226/26042. </t>
  </si>
  <si>
    <t>Division of Integrative Organismal Systems Core Programs</t>
  </si>
  <si>
    <t>The Division of Integrative Organismal Systems (IOS) Core Programs Track supports research to understand why organisms are structured the way they are and function as they do. Proposals are welcomed in all of the core scientific program areas supported by the Division of Integrative Organismal Systems (IOS). Areas of inquiry include, but are not limited to, developmental biology and the evolution of developmental processes, development, structure, modification, function, and evolution of the nervous system, biomechanics and functional morphology, physiological processes, symbioses and microbial interactions, interactions of organisms with biotic and abiotic environments,plant and animal genomics, and animal behavior. Proposals should focus on organisms as a fundamental unit of biological organization. Principal Investigators are encouraged to apply systems approaches that will lead to conceptual and theoretical insights and predictions about emergent organismal properties. The IntBIOTrackinvites submission of collaborative proposals totackle bold questions in biology thatrequire an integrated approach to make substantive progress. Integrative biological research spans subdisciplines and incorporates cutting-edge methods, tools, and concepts from each to produce groundbreaking biological discovery that is synergistic, such that the whole is greater than the sum of the parts. The research should produce a novel, holistic understanding of how biological systems function and interact across different scales of organization, e.g., from molecules to cells, tissues to organisms, species to ecosystems and the entire Earth.Where appropriate, projects should apply experimental strategies, modeling, integrative analysis, advanced computation, or other research approaches to stimulate new discovery and general theory in biology.</t>
  </si>
  <si>
    <t>Plant Genome Research Program</t>
  </si>
  <si>
    <t>The Plant Genome Research Program (PGRP) supports genome-scale research that addresses challenging questions of biological, societal and economic importance. PGRP encourages the development of innovative tools, technologies, and resources that empower a broad plant research community to answer scientific questions on a genome-wide scale. Emphasis is placed on the scale and depth of the question being addressed and the creativity of the approach. Data produced by plant genomics should be usable, accessible, integrated across scales, and of high impact across biology. Training, broadening participation, and career development are essential to scientific progress and should be integrated in all PGRP-funded projects. Two funding tracks are currently available:
    RESEARCH-PGR TRACK: Genome-scale plant research to address fundamental questions in biology, including processes of economic and/or societal importance.
    TRTech-PGR TRACK: Tools, resources, and technology breakthroughs that further enable functional plant genomics.</t>
  </si>
  <si>
    <t>Developmental Sciences</t>
  </si>
  <si>
    <t>Others (see text field entitled "Additional Information on Eligibility" for clarification) *Who May Submit Proposals: Proposals may only be submitted by the following:
  -Foreign organizations: For cooperative projects involving U.S. and foreign organizations, support will only be provided for the U.S. portion.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-State and Local Governments: State educational offices or organizations and local school districts.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
*Who May Serve as PI:
PIs and co-PIs must be researchers who have a Ph.D. or equivalent education and experience, sufficient to allow them to carry out independent basic research. PIs are encouraged to include undergraduate and graduate students in their research projects, but not as PI/co-PI or senior personnel.</t>
  </si>
  <si>
    <t>Developmental Sciences supports basic research that increases our understanding of perceptual, cognitive, linguistic, social, cultural, and biological processes related to human development across the lifespan. Research supported by this program will add to our knowledge of the underlying developmental processes that support social, cognitive, and behavioral functioning, thereby illuminating ways for individuals to live productive lives as members of society. The Developmental Sciences program supports research that addresses developmental processes within the domains of perceptual, cognitive, social, emotional, language, and motor development across the lifespan by working with any appropriate populations for the topics of interest including infants, children, adolescents, adults (including aging populations), and non-human animals. The program also supports research investigating factors that affect developmental change, including family, peers, school, community, culture, media, physical, genetic, and epigenetic influences. The program funds research that incorporates multidisciplinary, multi-method, and/or longitudinal approaches; develops new methods, models, and theories for studying development; and integrates different processes (e.g., memory, emotion, perception, cognition), levels of analysis (e.g., behavioral, social, neural) and time scales. The program funds basic research that advances our understanding of developmental processes and mechanisms; the program does not fund clinical trials and research focused primarily on health outcomes. The budgets and durations of supported projects vary widely and are greatly influenced by the nature of the project. Investigators should focus on innovative, potentially transformative research plans and then develop a budget to support those activities, rather than starting with a budget number and working up to that value. While there are no specific rules about budget limitations, a typical project funded through the Developmental Sciences program is approximately three years in duration with a total cost budget, including both direct and indirect costs, between $100,000 and $200,000 per year. Interested proposers are urged to explore the NSF awards database for the Developmental Sciences program to review examples of awards that have been made. Proposals that contain budgets significantly beyond this range may be returned without review. The Developmental Sciences program also considers proposals for workshops and small conferences on a case-by-case basis. These typically have total cost budgets, including direct and indirect costs, of approximately $35,000. Conference proposals may only be submitted following an invitation from the Program Directors. In addition to consulting the NSF awards database, it is often useful for interested proposers to submit (via email) a summary of no more than one page so that a program director can advise the investigator on the fit of the project for DS before the preparation of a full proposal. New investigators are encouraged to solicit assistance in the preparation of their project proposals via consultation with senior researchers in their area, pre-submission review by colleagues, and attendance at symposia and events at professional conferences geared towards educating investigators seeking federal funding. The Developmental Sciences Program is always interested in identifying new reviewers. Potential reviewers should have a Ph.D. in psychology or a related field and have a demonstrated area of expertise relevant to developmental science. Individuals interested in reviewing for the program should complete an expression of interest form.
SBE/BCS welcomes the submission of proposals to this funding opportunity that include the participation of the full spectrum of diverse talent in STEM,e.g., as PI, co-PI, senior personnel, postdoctoral scholars, graduate or undergraduate students, or trainees. This includes historically under-represented or underserved populations, diverse institutions including Minority Serving Institutions (MSIs), Primarily Undergraduate Institutions (PUIs), and two-year colleges, as well as major research institutions. Proposals from EPSCoR jurisdictions are especially encouraged.</t>
  </si>
  <si>
    <t>Selected Federal Funding Opportunities (As of April 15th 2024)</t>
  </si>
  <si>
    <t>Selected Federal Funding Opportunities (As of April 15th, 2024)</t>
  </si>
  <si>
    <t>NT-20-03B: Next Generation of Animal Telemetry: Transmitter Development</t>
  </si>
  <si>
    <t>DOI-BOEM</t>
  </si>
  <si>
    <t>Bureau of Ocean Energy Management</t>
  </si>
  <si>
    <t>Others (see text field entitled "Additional Information on Eligibility" for clarification) Single Source Cooperative Agreement with University of Colorado, Boulder</t>
  </si>
  <si>
    <t>BOEM is seeking concept design, prototype construction, and deployment testing of satellite-borne TOA receive systems. These receivers will work in tandem with terrestrial and marine transmitters (tags) and auxiliary terrestrial TOA receivers to form a global ultra-low energy positioning system. BOEM is seeking teams with prior demonstrated expertise in both low-power time-of-arrival positioning systems and CubeSat design and mission operations.  Information gained from movement studies enabled by this technology will feed directly into BOEMâ€™s environmental assessments and decision documents.</t>
  </si>
  <si>
    <t>CIG- FY 2024 - Missouri</t>
  </si>
  <si>
    <t>USDA-NRCS</t>
  </si>
  <si>
    <t>Natural Resources Conservation Service</t>
  </si>
  <si>
    <t>Notice of Funding Opportunity Summary 
NRCS is announcing the availability of Conservation Innovation Grants (CIG) State Program funding to stimulate the development and adoption of innovative conservation approaches and technologies. Applications are accepted from eligible entities (Section C) for projects carried out in the state of Missouri. A total of up to $500,000.00 is available for the Missouri CIG competition in FY 2024. All non-Foreign, non-federal entities (NFE) and individuals are invited to apply, with the sole exception of federal agencies. Projects may be between one and three years in duration. The maximum award amount for a single award in FY 2024 is $250,000.00. 
For new users of Grants.gov, see Section D. of the full Notice of Funding Opportunity for information about steps required before submitting an application via Grants.gov. Completing all steps required to start an application can take a significant amount of time, plan accordingly. 
Key Dates 
Applicants must submit their applications via Grants.gov by 11:59 pm Eastern Time on May 25th,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A webinar for CIG applicants is scheduled for April 8, 2024 at 9 a.m. CT Standard Time. Information on how to participate in the webinar will be posted to the Missouri NRCS CIG website along with a link below. Applicants are encouraged to visit the MO State CIG website to learn more about the CIG program. 
Link to webinar Teams meeting: 
https://teams.microsoft.com/l/meetup-join/19%3ameeting_ZWE5MTdiYWQtYjM3Yi00ZmVjLThhNzMtZjdjNzBlZjQ5ZTNi%40thread.v2/0?context=%7b%22Tid%22%3a%22ed5b36e7-01ee-4ebc-867e-e03cfa0d4697%22%2c%22Oid%22%3a%22cd47cf8d-9f96-4309-87f4-c21c3a497296%22%7d 
The agency anticipates making selections by July 1st and expects to execute awards by September 30th. These dates are estimates and are subject to change.</t>
  </si>
  <si>
    <t>NOAA RESTORE Science Program FFO-2025: Long-term Trends</t>
  </si>
  <si>
    <t>DOC-DOCNOAAERA</t>
  </si>
  <si>
    <t>DOC NOAA - ERA Production</t>
  </si>
  <si>
    <t>Others (see text field entitled "Additional Information on Eligibility" for clarification) Eligible applicants are institutions of higher education; not-for-profit institutions; for-profit organizations; local, state, and tribal government entities; and U.S. territories and federal agencies that possess the statutory authority to accept funding for this type of work. The lead applicant must be from a U.S.-based entity. Science Program funding opportunities may not be used to hire and fund the salaries of any permanent federal employees. Federal award recipients may use their funding to cover travel, equipment, supplies, and contractual personnel costs associated with the proposed work.Investigators are not required to be employed by an eligible entity that is based in one of the five Gulf of Mexico States (Florida, Alabama, Mississippi, Louisiana, and Texas). However, investigators that are not employed by or associated with Gulf of Mexico-based eligible entities are strongly encouraged to collaborate with partners from Gulf of Mexico-based eligible entities.Foreign researchers may participate by submitting a sub-award or contract through an eligible U.S. entity. Science Program funding may not be spent in Cuba.The Department of Commerce and NOAA support cultural and gender diversity and encourage proposals involving women and minority investigators, participants, and groups. In addition, the Department of Commerce and NOAA are strongly committed to broadening the participation of Historically Black Colleges and Universities, Hispanic-Serving Institutions, Tribal Colleges and Universities, and institutions that work in underserved areas. The Department of Commerce and NOAA encourage any of the above institutions to apply.</t>
  </si>
  <si>
    <t>The purpose of this document is to advise the public that the NOAA RESTORE Science Program is soliciting proposals for projects of five years in duration with the option for a five year, non-competitive renewal award for high-performing projects. This announcement invites proposals that request funding for partnerships that include researchers, resource managers, and other interested parties to conduct a collaborative research project that will identify, track, understand, or predict trends and variability in the Gulf of Mexicoâ€™s natural resources and the abiotic and biotic factors driving those trends. Funding is contingent upon the availability of funds in the Gulf Coast Restoration Trust Fund. It is anticipated that final recommendations for funding under this Announcement will be made in June 2025, and that projects funded under this Announcement will have a October 1, 2025 start date. Total funding for this competition will be approximately $17.5 million over five years and approximately six projects may be funded. The minimum individual award amount is approximately $1 million over five years (an average of $200,000 per year) and the maximum individual award amount is approximately $4 million over five years (an average of $800,000 per year). An additional $21 million may be available for five year, non-competitive renewals for high performing projects. Information regarding this Announcement, including webinars and additional background information, is available on the Science Programâ€™s website (https://restoreactscienceprogram.noaa.gov/funding-opportunities/ffo-2025).The NOAA RESTORE Science Program encourages applicants and awardees to support the principles of diversity, equity, and inclusion when writing their proposals and performing their work. Promoting diversity, inclusion, and equity improves the creativity, productivity, and vitality of the research and management communities and leads to more robust natural resource management decisions.Electronic Access: The NOAA RESTORE Science Program website (http://restoreactscienceprogram.noaa.gov/) furnishes supplementary information. Full proposals should be submitted electronically through Grants.gov (http://www.grants.gov).</t>
  </si>
  <si>
    <t>FY24 DEFENSE ESTABLISHED PROGRAM TO STIMULATE COMPETITIVE RESEARCH (DEPSCoR)   RESEARCH COLLABORATION (RC)</t>
  </si>
  <si>
    <t>Others (see text field entitled "Additional Information on Eligibility" for clarification) This funding opportunity aims to create basic research collaborations between a pair of researchers, namely 1) Applicant/Principal Investigator (PI), henceforth referred to as Applicant, a full-time faculty member who has never served as a PI on a prior DoD directly funded research Prime award and 2) Collaborator/co-Principal Investigator (co-PI), henceforth referred to as Collaborator, an investigator who will provide mentorship to the Applicant and has served as a PI on a DoD directly funded research Prime award actively between 1 October 2016 and 30 September 2023. This structure is aimed at introducing potential applicants to the DoD s unique research challenges and its supportive research ecosystem. Tenured or tenure-track faculty members with appointments at IHE, in the following States/Territories are eligible to apply for DEPSCoR opportunities under this announcement: Alabama, Alaska, Arizona, Arkansas, Connecticut, Delaware, District of Columbia, Guam, Hawaii, Idaho, Indiana, Iowa, Kansas, Kentucky, Louisiana, Maine, Minnesota, Mississippi, Missouri, Montana, Nebraska, Nevada, New Hampshire, New Jersey, New Mexico, North Dakota, Oklahoma, Oregon, Puerto Rico, Rhode Island, South Carolina, South Dakota, Tennessee, U.S. Virgin Islands, Vermont, West Virginia, Wisconsin, and Wyoming.</t>
  </si>
  <si>
    <t>The Department of Defense (DoD) announces the fiscal year 2024 (FY24) Defense Established Program to Stimulate Competitive Research (DEPSCoR) â€“ Research Collaboration (RC) opportunity. The program is sponsored and managed by the Basic Research Office, Office of the Under Secretary of Defense for Research and Engineering (OUSD [R E]), awarded by the Air Force Office of Scientific Research (AFOSR), and administered through the Office of Naval Research (ONR). The DoD plans to award FY24 DEPSCoR appropriations through this announcement. DEPSCoR's objectives are to:(1) increase the number of university researchers in eligible States/Territories capable of performing science and engineering (S E research responsive to the needs of the DoD; and(2) enhance the capabilities of institutions of higher education (IHE) in eligible States/Territories (listed below) to develop, plan, and execute (S E) research that is relevant to the mission of the DoD, and competitive under the peer-review systems used for awarding Federal research assistance;(3) increase the probability of long-term growth in the competitively awarded financial assistance that IHE in eligible States receive from the Federal Government for S E research. Consistent with these long term objectives of building research infrastructure, the DoD intends to competitively make, and fund from fiscal year 2024 appropriations, multiyear awards for S E research in areas relevant to the DoDâ€™s mission and important to national security. The Basic Research Office anticipates up to $15 million in total funding will be made available for this program to fully fund and award up to twenty five (25) grants up to $600,000 (total cost) each. Each grant award will be funded up to $200,000 (total cost) per year for three (3) years. Awards are subject to funding availability. There is no guarantee of an award.</t>
  </si>
  <si>
    <t>FY24 DEFENSE ESTABLISHED PROGRAM TO STIMULATE COMPETITIVE RESEARCH (DEPSCoR) CAPACITY BUILDING (CB)</t>
  </si>
  <si>
    <t>Others (see text field entitled "Additional Information on Eligibility" for clarification) This funding opportunity aims to support the strategic objectives of IHEs (either individually or in partnership with others) in DEPSCoR States/Territories to achieve basic research excellence in areas of high relevance to the DoD. IHEs in the following States/Territories are eligible to apply for this DEPSCoR opportunity under this announcement: Alabama, Alaska, Arizona, Arkansas, Connecticut, Delaware, District of Columbia, Guam, Hawaii, Idaho, Indiana, Iowa, Kansas, Kentucky, Louisiana, Maine, Minnesota, Mississippi, Missouri, Montana, Nebraska, Nevada, New Hampshire, New Jersey, New Mexico, North Dakota, Oklahoma, Oregon, Puerto Rico, Rhode Island, South Carolina, South Dakota, Tennessee, U.S. Virgin Islands, Vermont, West Virginia, Wisconsin, and Wyoming.</t>
  </si>
  <si>
    <t xml:space="preserve">The Department of Defense (DoD) announces the fiscal year 2024 (FY24) Defense Established Program to Stimulate Competitive Research (DEPSCoR) â€“ Capacity Building opportunity. The program is sponsored and managed by the Basic Research Office, Office of the Under Secretary of Defense for Research and Engineering (OUSD [R E]), awarded by the Air Force Office of Scientific Research (AFOSR), and administered through the Office of Naval Research (ONR). The DoD plans to award FY24 DEPSCoR appropriations through this announcement. DEPSCoR's objectives are to:(1) increase the number of university researchers in eligible States/Territories capable of performing science and engineering (S E) research responsive to the needs of the DoD. (2) enhance the capabilities of institutions of higher education (IHEs) in eligible States/Territories (listed below) to develop, plan, and execute S E research that is relevant to the mission of the DoD, and competitive under the peer-review systems used for awarding Federal research assistance; and (3) increase the probability of long-term growth in the competitively awarded financial assistance that IHEs in eligible States/Territories receive from the Federal Government for S E research. The Basic Research Office anticipates up to $6 million in total funding will be made available for this program to fully fund and award between one to four grants up to $1.5 million (total cost) each. Each grant award will be funded up to $750,000 (total cost) per year for two (2) years.The award is subject to funding availability. The Basic Research Office reserves the right to select and fund for award all, some, part, or none of the proposals received. There is no guarantee of an award. </t>
  </si>
  <si>
    <t>Solar and Wind Interconnection for Future Transmission (SWIFTR)</t>
  </si>
  <si>
    <t>Unrestricted (i.e., open to any type of entity above), subject to any clarification in text field entitled "Additional Information on Eligibility" Domestic Entities
The proposed prime recipient and subrecipient(s) must be domestic entities. The following types of domestic entities are eligible to participate as a prime recipient or subrecipient of this FOA:
1.
Institutions of higher education;
2.
For-profit entities;
3.
Nonprofit entities; and
4.
State and local governmental entities and federally recognized Indian Tribes (Indian Tribes).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
DOE/NNSA FFRDCs are eligible to apply for funding as a subrecipient but are not eligible to apply as a prime recipient.
Non-DOE/NNSA FFRDCs are eligible to participate as a subrecipient but are not eligible to apply as a prime recipient.
Federal agencies and instrumentalities (other than DOE) are eligible to participate as a subrecipient but are not eligible to apply as a prime recipient.
Entities banned from doing business with the United States government such as entities debarred, suspended, or otherwise excluded from or ineligible for participating in federal programs are not eligible. 
Nonprofit organizations described in Section 501(c)(4) of the Internal Revenue Code of 1986 that engaged in lobbying activities after December 31, 1995, are not eligible to apply for funding.</t>
  </si>
  <si>
    <t>This Funding Opportunity Announcement (FOA) is jointly issued by the U.S. Department of Energy Solar Energy Technologies Office (SETO) and Wind Energy Technologies Office (WETO) as part of their Interconnection Innovation Exchange (i2X) program1 to support innovative work to enable simpler, faster, and fairer interconnection of clean energy resources while enhancing the reliability, resiliency, and security of our electrical grid.
The two FOA topic areas are as follows:
Topic Area 1: Improved Efficiency of EMT Simulations for Interconnection Studies of IBRs Projects in this topic area will seek to improve the efficiency of the interconnection study process for new IBRs, such as solar and wind plants and battery energy storage systems, by improving software tools to study plant dynamics to increase long-term plant reliability. Projects will achieve this both by improving the speed of advanced, high-fidelity EMT modeling and simulation tools used in power systems interconnection studies and by developing a better understanding of when such high-fidelity simulations are necessary in the interconnection process.
Topic Area 2: Dynamic Stability-Enhanced Network Assessment Tools Projects in this topic area will develop tools to provide stakeholders with data on transmission system characteristics related to stability, voltage, and grid strength while securing confidential and critical energy infrastructure information. Projects will establish the type of information required by stakeholders, develop a tool or tools, and test and evaluate those tools on at least one real transmission system.
Topic Area 1 is primarily focused on the improvement of software tools, methods, or processes used to conduct EMT studies, the results of which will inform the transmission system interconnection stakeholders in Topic Area 2. Projects in Topic Area 2 do not need to be focused solely on transmission system characteristics based on EMT studies.</t>
  </si>
  <si>
    <t>Concentrating Solar Flux to Heat   Power</t>
  </si>
  <si>
    <t>This FOA solicits proposals for RD&amp;D associated with Scalable Concentrating Solar Collectors, Scalable Supercritical Carbon Dioxide (sCO2) and Scalable Concentrating Solar-thermal Receivers and Reactors. The three technologies will support the government-wide approach to the climate crisis by driving the innovation that can lead to the deployment of clean energy technologies, which are critical for climate protection.</t>
  </si>
  <si>
    <t>FY2024 Vehicle Technologies Office Research   Development Funding Opportunity Announcement</t>
  </si>
  <si>
    <t>Unrestricted (i.e., open to any type of entity above), subject to any clarification in text field entitled "Additional Information on Eligibility" See Section III of the Funding Opportunity Announcement for a full description of the eligibility requirements.</t>
  </si>
  <si>
    <t>FY2024 Vehicle Technologies Office Research   Development Funding Opportunity AnnouncementThis FOA will advance Research and Development in several areas critical to achieving net-zero greenhouse gas emissions by 2050, including: development of innovative battery chemistries, reducing greenhouse gas emissions in off-road vehicles, improving transportation efficiency via connected vehicles, domestic production of electric steels and improved cybersecurity for electric vehicle charging.</t>
  </si>
  <si>
    <t>Travel, Logistics, and Language Support for KM</t>
  </si>
  <si>
    <t>DOS-INL</t>
  </si>
  <si>
    <t>Bureau of International Narcotics-Law Enforcement</t>
  </si>
  <si>
    <t>Others (see text field entitled "Additional Information on Eligibility" for clarification)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</si>
  <si>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To provide programmatic, logistical, travel, and administrative support to the capacity-building programs for the Office of Knowledge Management (KM).</t>
  </si>
  <si>
    <t>Mega Grants</t>
  </si>
  <si>
    <t>DOT-DOT X-50</t>
  </si>
  <si>
    <t>69A345 Office of the Under Secretary for Policy</t>
  </si>
  <si>
    <t>Others (see text field entitled "Additional Information on Eligibility" for clarification) Eligible applicants for Mega grants are: 1.	a State or a group of States;  2.	a metropolitan planning organization;  3.	a unit of local government;  4.	a political subdivision of a State;  5.	a special purpose district or public authority with a transportation function, including a port authority;  6.	a Tribal government or a consortium of Tribal governments;  7.	a partnership between Amtrak and 1 or more entities described in (1) through (6); and,  8.	a group of entities described in any of (1) through (7).For Mega, territories are also eligible.Eligible project types for Mega are: 1.	A highway or bridge project on the National Multimodal Freight Network 2.	A highway or bridge project on the National Highway Freight Network 3.	A highway or bridge project on the National Highway System 4.	A freight intermodal (including public ports) or freight rail project that provides public benefit 5.	A railway highway grade separation or elimination project 6.	An intercity passenger rail project 7.	A public transportation project that is eligible under assistance under Chapter 53 of title 49 and is a part of any of the project types described above</t>
  </si>
  <si>
    <t>The Department is combining three major discretionary grant programs and two fiscal years of funding into one Multimodal Projects Discretionary Grant (MPDG) opportunity to reduce the burden for state and local applicants and increase the pipeline of â€œshovel-worthyâ€ projects that are now possible because of the Bipartisan Infrastructure Law. The National Infrastructure Project Assistance (Mega) program was created in the Bipartisan Infrastructure Law to fund major projects that are too large or complex for traditional funding programs. It is a highly competitive program. The Bipartisan Infrastructure Law provides $5 billion for Mega over 5 years, of which approximately $1.7 billion remains and will be made available through this NOFO. Half of the funds available in each fiscal year is reserved for projects greater than $500 million in cost, and half is reserved for projects greater than $100 million but less than $500 million in cost. Applications will be evaluated on six outcome criteria, economic analysis, project readiness, and statutory requirements. The six outcome criteria are: (1) safety; (2) state of good repair; (3) economic impacts, freight movement, and job creation; (4) climate change, resilience, and the environment; (5) equity, multimodal options, and quality of life; and (6) innovation areas: technology, project delivery, and financing. Applicants that wish to submit the same application to be considered for more than one grant program under the MPDG combined NOFO only need to submit their application through one Grants.gov opportunity number and that application will be considered for all programs for which it is not opted-out or ineligible. It is not necessary to submit multiple of the same application under the other MPDG Grants.gov opportunities.</t>
  </si>
  <si>
    <t>INFRA Grants</t>
  </si>
  <si>
    <t>Others (see text field entitled "Additional Information on Eligibility" for clarification) Eligible applicants for INFRA grants are: 1.	a State or group of States (For INFRA, the definition of State includes the District of Columbia and Puerto Rico);2.	a metropolitan planning organization that serves an Urbanized Area (as defined by the Bureau of the Census) with a population of more than 200,000 individuals;  3.	a unit of local government or group of local governments;  4.	a political subdivision of a State or local government;  5.	a special purpose district or public authority with a transportation function, including a port authority;  6.	a Federal land management agency that applies jointly with a State or group of States;  7.	a tribal government or a consortium of tribal governments;  8.	a multistate corridor organization; or  9.	a multistate or multijurisdictional group of entities described in this paragraph.  Eligible project types for INFRA are:1.	A highway freight project on the National Highway Freight Network 2.	A highway or bridge project on the National Highway System 3.	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facility4.	A highway-railway grade crossing or grade separation project 5.	A wildlife crossing project 6.	A surface transportation project within the boundaries or functionally connected to an international border crossing that improves a facility owned by Fed/State/local government and increases throughput efficiency 7.	A project for a marine highway corridor that is functionally connected to the NHFN and is likely to reduce road mobile source emissions 8.	A highway, bridge, or freight project on the National Multimodal Freight Network</t>
  </si>
  <si>
    <t>The Department is combining three major discretionary grant programs and two fiscal years of funding into one Multimodal Projects Discretionary Grant (MPDG) opportunity to reduce the burden for state and local applicants and increase the pipeline of â€œshovel-worthyâ€ projects that are now possible because of the Bipartisan Infrastructure Law. The Infrastructure for Rebuilding America (INFRA) program is a competitive program. The Bipartisan Infrastructure Law provides approximately $8 billion for INFRA over 5 years, of which approximately $2.7 billion will be made available through this NOFO. Applications will be evaluated on six outcome criteria, economic analysis, project readiness, and statutory requirements. The six outcome criteria are: (1) safety; (2) state of good repair; (3) economic impacts, freight movement, and job creation; (4) climate change, resilience, and the environment; (5) equity, multimodal options, and quality of life; and (6) innovation areas: technology, project delivery, and financing. Applicants that wish to submit the same application to be considered for more than one grant program under the MPDG combined NOFO only need to submit their application through one Grants.gov opportunity number and that application will be considered for all programs for which it is not opted-out or ineligible. It is not necessary to submit multiple of the same application under the other MPDG Grants.gov opportunities.</t>
  </si>
  <si>
    <t>FY 2024 Competitive Academic Agreement Program (CAAP)</t>
  </si>
  <si>
    <t>The Competitive Academic Agreement Program (CAAP) provides funding for research pursuing innovative solutions in four pipeline safety and integrity challenge areas. PHMSAÂ¿s 2024 CAAP focused on research and development (R&amp;D) that advances equity by encouraging the participation of Minority Serving Institutions (MSIs) and by integrating equity concerns in its research topics (i.e., mitigating climate change through the safe transportation of hydrogen while limiting the risk posed to socially vulnerable communities from aging cast iron pipelines).</t>
  </si>
  <si>
    <t>FY 2024   FY 2025 Pollution Prevention Grant Program</t>
  </si>
  <si>
    <t>EPA</t>
  </si>
  <si>
    <t>Environmental Protection Agency</t>
  </si>
  <si>
    <t>Others (see text field entitled "Additional Information on Eligibility" for clarification) See Section III of the Notice of Funding Opportunity for eligibility information.</t>
  </si>
  <si>
    <t>The Environmental Protection Agency (EPA) is announcing a two-year competitive funding opportunity for awards to eligible entities to provide technical assistance (TA)  to businesses to encourage the development and implementation of source reduction practices also known as pollution prevention or â€œP2â€.  EPA is requiring recipients to develop at least one P2 case study and one P2 success story during the grant period. A P2 case study should provide detailed technical information on one or two specific source reduction/P2 practices implemented by a business, and the benefits achieved, so that other P2 TA providers or interested businesses have enough technical information that they can learn from and replicate those P2 practices. A P2 case study should focus on P2 approaches that are new and not widely known or adopted and/or where the recipient believes detailed information on the project could support more widespread project replication.</t>
  </si>
  <si>
    <t>COLUMBIA RIVER BASIN RESTORATION FUNDING ASSISTANCE PROGRAM: SCIENCE AND MONITORING COMPETITION</t>
  </si>
  <si>
    <t>Others (see text field entitled "Additional Information on Eligibility" for clarification) Please see Section III of the funding opportunity announcement for eligibility information.</t>
  </si>
  <si>
    <t>The U.S. Environmental Protection Agency, Region 10 (EPA), is issuing a Request for Applications (RFA) from eligible entities to improve the understanding of toxics and their effects on water quality in the Columbia River Basin by increasing the number, type, and scientific rigor of toxics monitoring projects in the Columbia River Basin through specific actions in three program priority areas: 1) characterization and spatiotemporal trend analysis; 2) pathway identification; and/or 3) novel methods and approaches. The Columbia River Basin Restoration Program (CRBRP) will assist Tribal, state, and local governments; nongovernmental entities, and others as they implement the 2010 Columbia River Basin Toxics Reduction Action Plan and the Lower Columbia River Estuary Plan - Comprehensive Conservation and Management Plan and conduct activities to support EPA national goals for the Columbia River Basin.</t>
  </si>
  <si>
    <t>Advancing Sustainable Chemistry</t>
  </si>
  <si>
    <t>Sustainable chemistry produces compounds or materials with intentional design, manufacture, use, and end-of-life management. Across their lifecycle, sustainable chemicals promote circularity, meet societal needs, and contribute to economic resilience. The introduction of more sustainable chemical products, processes, and technologies are needed to address emerging and growing challenges and opportunities for the economy, climate action, and environmental justice. This Request for Applications (RFA) is soliciting research for data, methods, and systems that lead to actionable, scalable change toward chemistry, chemicals, and products that support sustainable chemistry.</t>
  </si>
  <si>
    <t>AIR QUALITY INFORMATION: MAKING SENSE OF AIR POLLUTION DATA TO INFORM DECISIONS IN UNDERSERVED COMMUNITIES OVERBURDENED BY AIR POLLUTION EXPOSURES</t>
  </si>
  <si>
    <t xml:space="preserve">The U.S. Environmental Protection Agency (EPA) Office of Research and Development (ORD), as part of the Science to Achieve Results (STAR) program and in collaboration with the Air, Climate, and Energy (ACE) research program, is seeking applications proposing community-engaged research in underserved communities to advance the use of air pollution data and communication of air quality information for empowering local decisions and actions that address community-identified air pollution concerns. Specifically, this funding opportunity is soliciting research projects that involve substantial engagement with communities, community-based organizations, and/or Tribes to address both of the following priorities:
 methods and tools for data integration and analysis to characterize community exposures to air pollution in underserved communities
 effective communication of air quality information to communities and decision makers to support actions to address air pollution concerns in underserved communities
This research solicitation supports the Administrationâ€™s priorities to address environmental justice (EJ), such as described in the following Executive Orders:
 Executive Order 13985: Advancing Racial Equity and Support for Underserved Communities Through the Federal Government
 Executive Order 14008: Tackling the Climate Crisis at Home and Abroad
 Executive Order 14091: Further Advancing Racial Equity and Support for Underserved Communities Through the Federal Government
 Executive Order 14096: Revitalizing Our Nation's Commitment to Environmental Justice for All
</t>
  </si>
  <si>
    <t>MUREP INCLUDES</t>
  </si>
  <si>
    <t>NASA</t>
  </si>
  <si>
    <t>National Aeronautics and Space Administration</t>
  </si>
  <si>
    <t>Others (see text field entitled "Additional Information on Eligibility" for clarification) All proposals shall originate from an institution designated and listed by the U.S. Department of Education (DOE) as a Minority-Serving Institution (MSI) on the proposal due date.</t>
  </si>
  <si>
    <t xml:space="preserve">MUREP INCLUDES coalitions endeavor to apply numerous approaches to expand the awareness and involvement of URMs in engineering with a focus on cultural competence. MUREP INCLUDES implements activities explicitly to heighten students' engineering skills; develops a pool of engineers in fields relevant to NASA; supports the design and deployment of new engineering courses and/or degree programs; infuses NASA content into engineering curriculum; provides authentic and diverse research experiences for students; enables educators to present engineering concepts and activities to students effectively; empower students into transitioning into engineering degrees through bridging programs, and capstone projects; and disseminates MSI-led coalitions successes through conference papers/journal/publication. Finally, the various coalition projects seek to provide improved access for URMs in engineering fields, establish inclusive environments, deliver culturally diverse activities, and offer novel approaches to retain URMs in engineering degree pathways. </t>
  </si>
  <si>
    <t>Data Science Corps</t>
  </si>
  <si>
    <t>The objective of the Data Science Corps program is to help build a strong national data science infrastructure and workforce. The Data Science Corps program seeks to engage data science students in real-world data science implementation projects. This engagement will help bridge the data-to-knowledge gap in organizations and communities at all levels, including local, state, and national, and will empower better use of data for more effective decision making. Data Science Corps participants will be able to sharpen their skills in data science by working on real-world projects focused on specific community needs, including rural communities, urban communities, academia, industry, or government. This partnership between communities and data scientists will serve the nation by helping produce a workforce-ready cohort of data scientists and technologists, who have experience with data science in action in real-world settings. The program welcomes proposals that seek to broaden participation inscience, technology, engineering and mathematics (STEM) and STEM education.
This solicitation prompts the community to respond to one or more mechanisms by which to provide students with data science education and training, including in data science issues related to knowledge representation and creation and use of knowledge graphs. The solicitation supports opportunities for undergraduates (including students from community colleges, Minority Serving Institutions, other emerging research institutions as defined in the CHIPS and Science Act, https://www.congress.gov/bill/117th-congress/house-bill/4346, and institutions in EPSCoR jurisdictions), and grade 6-12 teachers and students. When responding to this solicitation, even though proposals must be submitted through theDirectorate for STEM Education, Division of Research on Learning in Formal and Informal Settings (EDU/DRL), once received, the proposals will be managed by a cross-disciplinary team of NSF Program Directors
This solicitation grew out of the NSF-wide activity known as Harnessing the Data Revolution (HDR), a national-scale activity to enable new modes of data-driven discovery addressing fundamental questions at the frontiers of science and engineering. HDR has supported an interrelated set of efforts in foundations of data science; data-intensive research in science and engineering; and education and workforce development.
Contact Information:
Please note that the following information is current at the time of publishing. See program website for any updates to the points of contact.
  General inquiries may be addressed to HDR-DSC@nsf.gov.</t>
  </si>
  <si>
    <t>Louis Stokes Alliances for Minority Participation</t>
  </si>
  <si>
    <t>Others (see text field entitled "Additional Information on Eligibility" for clarification) *Who May Submit Proposals: Proposals may only be submitted by the following:
  -
Alliance Development Grants (ADG)
 Institutions of Higher Education (IHEs) - Two-and-four-year IHEs (including community colleges) accredited in and having a campus located in the US, acting on behalf of their faculty members. 
Alliances: br / 
 STEM Pathways Implementation-Only (SPIO):Institutions of Higher Education (IHEs) - Two-and-four-year IHEs (including community colleges) accredited in and having a campus located in the US, acting on behalf of their faculty members. 
 STEM Pathways Research Alliance (SPRA):Institutions of Higher Education (IHEs) - Two-and-four-year IHEs (including community colleges) accredited in and having a campus located in the US, acting on behalf of their faculty members. 
 Bridge to the Baccalaureate (B2B): B2B Alliances are composed entirely of two-year IHEs. The lead institution must award associate-level degrees in a STEM or STEM-related field. Associate-level degree-granting institutions that award four-year degrees in workforce development areas may be eligible to serve as the lead institution of a B2B alliance. Four-year institutions that award STEM baccalaureate degrees are ineligible to serve as lead institutions for B2B alliances but may be included as partner institutions for articulation purposes as a transfer pathway to four-year STEM degree programs. Funds are not budgeted for four-year institutions in B2B projects. Proposers should contact the LSAMP program staff for any questions on eligibility for B2B alliance support. br / 
Bridges to STEM Graduate Degrees in National Priorities (BD-Master's) br / 
 Master's Comprehensive IHEs as defined by Carnegie Classification only. Carnegie Classification website: https://carnegieclassifications.acenet.edu/. 
Bridges to STEM Graduate Degrees in National Priorities (BD-Doctoral) br / 
 Four-year IHEs accredited in and having a campus located in the US, acting on behalf of their faculty members. 
STEM Networking Incentives and Engagement (NETWORKS) br / 
 Institutions of Higher Education (IHEs) - Two-and-four-year IHEs (including community colleges) accredited in and having a campus located in the US, acting on behalf of their faculty members. 
 Non-profit, non-academic organizations: Independent museums, observatories research laboratory professional societies and similar organizations located in the U. S. that are directly associated with educational or research activities. 
 For-profit organizations: U.S.-based commercial organizations, including small businesses, with strong capabilities in scientific or engineering research or education and a passion for innovation. 
NETWORKS projects are limited to four collaborating organizations per proposal.
*Who May Serve as PI:
Alliance Development Grant (ADG) Proposals
The PI for ADG proposals must be an upper-level administrator/cabinet-level officialfrom the executive leadership (i.e., Provost, Dean, VP of Academic Affairs, etc.) of the institution. A deviation from this requirement for PI designation requires a full justification. Faculty may be listed as Co-PIs.
Alliances: Bridge to the Baccalaureate (B2B), STEM Pathways Implementation-Only (SPIO) and STEM Pathways Research Alliance (SPRA) br / 
The PI for alliances (B2B, SPIO, and SPRA) should be a cabinet-level official from the executive leadership (i.e., Provost, Dean, VP of Academic Affairs, etc.) of the institution and a member of the alliance governing board. The alliance governing board is a body of upper-level administrators from each partner institution that oversees the alliance. A deviation from this requirement for PI designation requires a full justification. Individuals from partner institutions must be designated as co-PIs on the proposal.
To ensure production of new STEM education</t>
  </si>
  <si>
    <t>The Louis Stokes Alliances for Minority Participation (LSAMP) program invests in the Nation's colleges and universities to aid student success to create a new generation of STEM discoverers for the national STEM enterprise. The program takes a comprehensive approach to the STEM Learning Ecosystem to impact STEM student development and retention.
LSAMP is an alliance-based program, whereby a group of institutions of higher education (IHEs) work together to diversify the nation's science, technology, engineering, and mathematics (STEM) workforce by increasing the number of STEM baccalaureate and graduate degrees awarded to persons from LSAMP populations. LSAMP populations are defined as persons from groups underrepresented in the STEM enterprise: Blacks and African-Americans, Hispanic and Latino Americans, American Indians, Alaska Natives, Native Hawaiians, and Pacific Islanders. The LSAMP program provides funding to alliances that implement comprehensive, evidence-based, innovative, and sustained strategies that ultimately result in the graduation of well-prepared, highly competitive students from LSAMP populations who pursue graduate studies or careers in STEM, while also supporting knowledge generation, knowledge utilization, assessment of program impacts, dissemination activities and dissemination of scholarly research into the field.
Projects supported by the LSAMP program include:
--Alliance Development Grants (ADG) support the conceptualization and development of new B2B and new SPIO alliances. (New)
--Bridge-to-the-Baccalaureate (B2B) alliances facilitate the successful transfer of students from LSAMP populations to four-year institutions in pursuit of STEM baccalaureate degrees.
--STEM Pathways Implementation-Only (SPIO) alliances are designed for new and reconstituted alliances. These projects focus on building and strengthening strategies and approaches to assist Institutions of Higher Education (IHEs) increase STEM baccalaureate degrees to LSAMP populations and facilitate entry into STEM graduate degree programs.
--STEM Pathways Research Alliances (SPRA) are designed for well-established alliances. These projects serve as models of excellence in STEM broadening participation by (1) steadily increasing STEM baccalaureate degrees to LSAMP populations and facilitating entry into STEM graduate degree programs; (2) producing and disseminating new scholarly research on the broadening participation of LSAMP populations (or underrepresented and underserved populations in STEM disciplines and the nation's STEM workforce) and, (3) holistically assess the state of institutionalization and sustainability of the alliance.
--Bridge to STEM Graduate Degrees in National Priorities (BD-Master's) projects support cohorts of six graduate students pursuing a M. S. degree in STEM national priority areas, providing financial support (stipends and cost of education) and support to help develop and maintain academic and research skills that enable participants to successfully persist in STEM graduate degree programs at Master's comprehensive-degree producing institutions only. (New)
--Bridge to STEM Graduate Degrees in National Priorities (BD-Doctoral) projects support cohorts of twelve graduate students pursuing a Ph.D. degree in STEM national priority areas, providing financial support (stipends and cost of education) and support to help develop and maintain academic and research skills that enable participants to successfully persist in STEM doctoral degree programs.
--STEM Networking Incentives and Engagement (NETWORKS) projects provide support to incentivize the creation and participation of LSAMP populations in STEM networks. (New)</t>
  </si>
  <si>
    <t>Centers of Research Excellence in Science and Technology - Research Infrastructure for Science and Engineering</t>
  </si>
  <si>
    <t>Others (see text field entitled "Additional Information on Eligibility" for clarification) *Who May Submit Proposals: Proposals may only be submitted by the following:
  -
Minority Serving Institutions (see definition below) that are Emerging Research Institutions (ERIs) and offer master s or research doctoral degrees in NSF-supported STEM fields are eligible to submit. Emerging Research Institutionsare those that have less than $50,000,000 inresearchexpenditures per year as reported at  a href=  in three of the last five years.
For this solicitation, MSIs are defined as institutions, at the time of proposal submission, that have enrollments of 50% or moreU.S. resident students (non-international) (based on total student enrollment) who are members of minority groups underrepresented among those holding advanced degrees in science and engineering fields. Proposals are also invited from institutions of higher education that meet the 50% enrollment criterion and primarily serve populations of students with disabilities. Eligibility may be determined by reference to the Integrated Postsecondary Education Data System (IPEDS) of the US Department of Education National Center for Education Statistics ( a href= ).
*Who May Serve as PI:
CREST-RISE DPSI
The Principal Investigator (PI) must hold a full-time faculty appointment in an NSF-supported STEM discipline at the institution submitting the proposal.
CREST-RISE RAD
The PI must meet all the following eligibility requirements at the time of submission:
 Be a full-time faculty member with the DPSI institution, 
 Have earned a doctoral degree no more than 10 years prior to the proposal submission date, 
 Be engaged in research in a STEM area supported by NSF and in alignment with the institution s active DPSI project, 
 Mentor or commit to mentor research doctoral students in the DPSI subject area, 
 Hold a position as an assistant professor (or equivalent), 
 Be untenured and on a tenure-track or tenure-track equivalent position, and 
 Have not previously received a RAD award.  
Tenure-Track Equivalency   For a position to be considered a tenure-track-equivalent position, it must meet the following requirement:
 the employee has a continuing appointment that is expected to last the five years of a RAD award 
For tenure-track equivalent faculty, a Departmental Letter must affirm that the investigator s appointment is at an early-career level equivalent to pre-tenure status. Further, the Departmental Letter must clearly and convincingly demonstrate how the faculty member s appointment satisfies all the above requirements of tenure-track equivalency.
Faculty members who are associate professors, full professors, or have equivalent appointments with or without tenure/tenure-equivalency, are not eligibleto serve as PI for a RAD award.
Faculty members who hold Adjunct Faculty or equivalent appointments are not eligible to serve as PI for the RAD award.
Co-PIs are not permitted for a RAD proposal.
CREST-RISE E I
The PI must be a full-time faculty member at the requesting institution and must be mentoring DPSI supported research doctoral students from the institution s active DPSI award.</t>
  </si>
  <si>
    <t xml:space="preserve">The Centers of Research Excellence in Science and Technology (CREST) program provides support to enhance the research capabilities of minority-serving institutions (MSIs) as defined in this solicitation s Eligibility section, through effective integration of education and research. The CREST program, composed of the CREST Centers, the CREST Postdoctoral Research Program, and the projects supported by this CREST-RISE solicitation, promotes the development of new knowledge, enhancements of the research productivity of individual faculty and postdoctoral scholars, and an expanded presence of research doctoral students in science, technology, engineering, and mathematics (STEM) disciplines, especially those from underrepresented groups.
CREST-RISE is the component of the CREST program that supports the expansion of institutional research capacity by increasing the strength of institutional graduate programs and the successful production of research doctoral students, especially those from groups underrepresented in STEM.
The CREST-RISE component supports STEM research doctoral programs in all NSF supported areas and encourages proposals in areas of national interest, such as artificial intelligence, data science and analytics; advanced materials, manufacturing, robotics; cybersecurity; plant genetics/agricultural technologies; quantum information sciences; nanotechnology, semiconductors/microelectronics technologies; climate change and clean energy.
CREST-RISE projects must have a direct connection to the long-term plans of the host department(s) and the institution s strategic plan and mission. Project plans should emphasize activities designed to increase the production of research doctoral students, especially those underrepresented in STEM as well as expand institutional research capacity.
The goals of CREST-RISE are to increase: 1) the number of STEM research doctoral programs at MSIs (as defined in the Eligibility section), 2) the number of STEM research doctoral students graduating from MSIs, especially those from groups underrepresented in STEM, and 3) institutional research capacity to increase doctoral students  graduation rates.To achieve these goals, the CREST-RISE program includes three tracks as follows:
CREST-RISE STEM Doctoral Programs Support Initiative (CREST-RISE DPSI)
CREST-RISE Research Advancement and Development (CREST-RISE RAD)
CREST-RISE Equipment   Instrumentation (CREST-RISE E I)
</t>
  </si>
  <si>
    <t>IUSE/Professional Formation of Engineers:  Revolutionizing Engineering Departments</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</si>
  <si>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For all tracks, the Principal Investigator (PI) must be a Department Chair/Head (or equivalent) of a department for whom a significant percentage of students will graduate or transfer to a program with a bachelor s degree in engineering or engineering technology. The PI must be empowered to provide leadership for the proposed change process. In cases where the institutional responsibilities of a Department Chair/Head do not enable them to support the degree of change being sought, a Dean, Provost, or other senior leader may serve as PI, provided they will be responsible for the active leadership of the RED project. The qualifications of the PI can be justified in the required letter from senior institutional leadership.
It is recommended that projects consider including individuals with expertise in (a) engineering education research and (b) organizational change on the leadership team.</t>
  </si>
  <si>
    <t>Revolutionizing Engineering Departments (hereinafter referred to as RED) is designed to build upon previous efforts in engineering education research. Specifically, previous and ongoing evaluations of the NSF Engineering Education and Centers Division program and its predecessors, as well as those related programs in the Directorate for STEM Education, have shown that prior investments have significantly improved the first year of engineering students  experiences, incorporating engineering material, active learning approaches, design instruction, and a broad introduction to professional skills and a sense of professional practice   giving students an idea of what it means to become an engineer. Similarly, the senior year has seen notable change through capstone design experiences, which ask students to synthesize the technical knowledge, skills, and abilities they have gained with professional capacities, using reflective judgment to make decisions and communicate these effectively. However, this ideal of the senior year has not yet been fully realized, because many of the competencies required in capstone design, or required of professional engineers, are only partially introduced in the first year and not carried forward with significant emphasis through the sophomore and junior years.
The Directorates for Engineering (ENG) and STEM Education (EDU) are funding projects as part of the RED program, in alignment with the Improving Undergraduate STEM Education (IUSE) framework and Professional Formation of Engineers (PFE) initiative. These projects are designing revolutionary new approaches to engineering education, ranging from changing the canon of engineering to fundamentally altering the way courses are structured to creating new departmental structures and educational collaborations with industry. A common thread across these projects is a focus on organizational and cultural change within the departments, involving students, faculty, staff, and industry in rethinking what it means to provide an engineering program.
In order to continue to catalyze revolutionary approaches, while expanding the reach of those that have proved efficacious in particular contexts, the RED program supports four tracks: RED Planning (Track 1), RED Adaptation and Implementation (Track 2), RED Innovation (Track 3), and RED Innovation Partnerships (Track 4). Two- and four-year institutions are encouraged to submit to any track as appropriate for their goals and context.
RED Planning (Track 1) projects will support capacity-building activities at institutions of special interest to NSF s mission, specifically two-year engineering-centered programs building transfer partnerships, two-year or four-year institutions in EPSCoR jurisdictions, Primarily Undergraduate Institutions (PUIs), and Institutions of Higher Education (IHEs)seeking to level the number of degrees acrossof the full spectrum of diverse talent in engineering. Planning projects should provide the support for such institutions to explore the development of a RED Projects in Tracks 2, 3,   4.
RED Adaptation and Implementation (Track 2) projects will adapt and implement evidence-based organizational change strategies and actions to the local context, which helps propagate this transformation of undergraduate engineering education.
RED Innovation (Track 3) projects will develop new, revolutionary approaches and change strategies that enable the transformation of undergraduate engineering education.
RED Innovation Partnerships (Track 4) projects will achieve the same goals as Track 3 projects across multiple institutions. Of particular interest to this track are projects partnering two-year institutions with other eligible institutions.
Projects in tracks 2, 3,   4 will include consideration of the cultural, organizational, structural, and pedagogical changes needed to transform one or more departments to ones in which students are engaged, develop their technical and professional skills, and establish identities as professional engineers or technologists. The focus of projects in these tracks should be on the department s disciplinary courses and program. RED project initiatives are expected to be institutionalized at the end of the funding period.
Proposals are especially encouraged that address areas of increased national interest including but not limited to advanced manufacturing, advanced wireless, artificial intelligence, biotechnology, microelectronics and semiconductors, net zero technologies, sustainability, systems engineering, and quantum engineering.</t>
  </si>
  <si>
    <t>Regional Alliances and Multistakeholder Partnerships to Stimulate (RAMPS) Cybersecurity Education and Workforce Development</t>
  </si>
  <si>
    <t>Others (see text field entitled "Additional Information on Eligibility" for clarification) Eligibility for the program listed in this NOFO is open to all non-Federal entities. Eligible applicants include accredited institutions of higher education; non-profit organizations; for-profit organizations incorporated in the United States; State, local, Territorial, and Indian Tribal governments; foreign public entities; and foreign organizations. Please note that individuals and unincorporated sole proprietors are not considered  non-Federal entities  and are not eligible to apply under this NOFO. Although Federal entities are not eligible to receive funding under this NOFO, they may participate as unfunded collaborators.</t>
  </si>
  <si>
    <t>The NIST National Initiative for Cybersecurity Education (NICE) is seeking applications from eligible applicants for activities to establish community-based partnerships to develop cybersecurity career pathways that address local workforce needs. Effective multistakeholder workforce partnerships will organize multiple employers with skill shortages in specific occupations to focus on developing the skilled workforce to meet industry needs within the local or regional economy.</t>
  </si>
  <si>
    <t>Accelerating Federal Technology Transfer (AFTT) Program</t>
  </si>
  <si>
    <t>Others (see text field entitled "Additional Information on Eligibility" for clarification) Eligibility for the program listed in this NOFO is open to all non-federal entities. Eligible applicants include, but are not limited to, institutions of higher education, non-profit organizations, for-profit organizations, state and local governments, Indian tribes, hospitals, and foreign organizations. Please note that individuals and unincorporated sole proprietors are not considered  non-federal entities  and are not eligible to apply under this NOFO. Although federal entities are not eligible to receive funding under this NOFO, they may participate as unfunded collaborators.</t>
  </si>
  <si>
    <t xml:space="preserve">The NISTâ€™s Accelerating Federal Technology Transfer (AFTT) Program is seeking applications from eligible applicants for activities to help promote, educate, and facilitate federal technology transfer. Under the AFTT Program, members of the Federal Laboratory Consortiumâ€™s (FLC) Executive Board, including NIST, will collaborate with the awardee on the development of outreach and educational programs, tools, and best practices that will enhance the ability of the academic and private sectors to engage with Federal laboratories in technology transfer and research commercialization. Specifically, the awardee will collaborate with the FLCâ€™s Executive Board, including NIST, in the areas of technology transfer and research commercialization by: developing the necessary tools and services to promote the utilization of Federal intellectual property, user facilities, and other R D resources by non-federal partners; creating a suitable education and training infrastructure in technology transfer for the relevant stakeholders; and engaging industry, academic, and state and local government communities to facilitate access to federal R D collaborations and federal technology transfer opportunities on both a regional and a national level. </t>
  </si>
  <si>
    <t>Small Business Innovation Research (SBIR) Program Phase II</t>
  </si>
  <si>
    <t>Others (see text field entitled "Additional Information on Eligibility" for clarification) Applicants must qualify as a Small Business Concern for Research/Research and Development (R/R D) purposes, as defined in Section 1.05 of this NOFO, at the time of award. In addition, the primary employment of the principal investigator must be with the small business at the time of the award and during the conduct of the proposed research. Primary employment means that more than one-half of the principal investigator's time is spent working with the small business. Primary employment with a small business precludes full-time employment with another organization.</t>
  </si>
  <si>
    <t>The Small Business Innovation Research (SBIR) Program Phase II is seeking applications from previous Fiscal Year (FY) 2023 NIST SBIR Phase I award recipients in response to this NOFO for Phase II of their projects, with the aim of developing a viable product or service that will be introduced to the commercial marketplace.</t>
  </si>
  <si>
    <t>State Digital Equity Capacity Grant Program (2024)</t>
  </si>
  <si>
    <t>DOC-NTIA</t>
  </si>
  <si>
    <t>National Telecommunications and Information Admini</t>
  </si>
  <si>
    <t>Others (see text field entitled "Additional Information on Eligibility" for clarification) Eligible entities include any State of the United States, the District of Columbia, or Puerto Rico that has completed a Digital Equity Plan that meets the requirements of 47 U.S.C.   U.S. Territories that submit a Digital Equity Plan consistent with the obligations of their State Digital Equity Planning Grant award; Native Entities, or a consortium of Native Entities, with the necessary authorizations.</t>
  </si>
  <si>
    <t>The State Digital Equity Capacity Grant Program is the second of three digital equity programs authorized by the Infrastructure Investment and Jobs Act of 2021, Division F, Title III, Public Law 117-58, 135 Stat. 429, 1209 (November 15, 2021) also known as the Digital Equity Act to promote digital inclusion activities and achieve digital equity. The Digital Equity Act consists of three funding programs: (1) the $60 million State Digital Equity Planning Grant Program; (2) the $1.44 billion State Digital Equity Capacity Grant Program; and (3) the $1.25 billion Competitive Grant Program. The State Digital Equity Capacity Grant Program will provide funds to States and U.S. Territories to implement the State Digital Equity Plans developed pursuant to the State Digital Equity Planning Grant Program. The State Digital Equity Capacity Grant Program NOFO also establishes a competitive program to make both State Digital Equity Planning Grant Program funds and State Digital Equity Capacity Grant Program funds available to Native Entities to carry out digital equity and inclusion activities consistent with the Digital Equity Act.</t>
  </si>
  <si>
    <t>DoD Vision Research, Mentored Clinical Research Award</t>
  </si>
  <si>
    <t>The FY24 VRP MCRA is intended to support patient-oriented vision injury research and develop research expertise of highly motivated military or civilian clinicians in training. Research supported by the MCRA can be a standalone study of high impact to vision injury care or the generation of clinical research data in preparation for a more expansive study.Each MCRA must be led by an established clinician or Ph.D. clinical scientist who will serve as Principal Investigator (PI) of the award. Key personnel must include a clinician in training (e.g., a fellow, resident, junior clinician, clinician in a Ph.D. program). The clinician in training should have sufficient time remaining in their training program to complete the research proposed under the MCRA. The clinician in training will conduct the proposed research under the mentorship of the PI, with support from supporting personnel as appropriate. While additional junior scientists or clinicians may participate in the research, only one clinician in training may be designated as mentee. A Letter of Organizational Support and Mentee Eligibility, signed by the Department Chair or appropriate organization official, and a Letter of Commitment, signed by the mentee, should be submitted as part of Attachment 2: Supporting Documentation.For the purposes of this award mechanism, clinical research is defined as research conducted with human subjects or research on material of human origin, such as tissues or specimens or data obtained from human subjects. Documentation of Institutional Review Board (IRB)/ Ethics Committee (EC) approval or exemption by December 1, 2024, is required for an MCRA application to be considered for funding. See Attachment 2: Supporting Documentation for additional detail.The MCRA may not be used to conduct preclinical research (including animal research) or clinical trials.A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trials.Studies that retrospectively analyze data generated from previously conducted clinical trial(s) are not considered a clinical trial.</t>
  </si>
  <si>
    <t>GOLDen hour extended EVACuation (GOLDEVAC)</t>
  </si>
  <si>
    <t>The Defense Advanced Research Projects Agency (DARPA) is soliciting innovative proposals in the following technical area: intravascular gas-exchange and trauma resuscitation through a single intravascular cannula. Proposed research should investigate innovative approaches that enable revolutionary advances which would develop the necessary device(s) to enable management of a polytrauma patient through a single intravascular access without the thrombotic complications associated with extracorporeal membrane oxygenation. Specifically excluded is research that primarily results in evolutionary improvements to the existing state of practice.</t>
  </si>
  <si>
    <t>Office of Naval Research Science and Technology for Advanced Manufacturing Projects (STAMP)</t>
  </si>
  <si>
    <t>Others (see text field entitled "Additional Information on Eligibility" for clarification) All responsible sources from academia, industry and the research community worldwide may submit proposals under this BAA. Historically Black Colleges and Universities
(HBCUs) and Minority Institutions (MIs) are encouraged to submit proposals and join others in submitting proposals; however, no portion of this BAA will be set aside for
HBCUs/MIs, small businesses or other socio-economic participation. 
All businesses, both small and large, are encouraged to submit proposals and compete for funding consideration.
Federally Funded Research   Development Centers (FFRDCs), including Department of Energy National Laboratories, are not eligible to receive awards under this BAA.</t>
  </si>
  <si>
    <t>All responsible sources from academia, industry and the research community worldwide may submit proposals under this BAA. Historically Black Colleges and Universities (HBCUs) and Minority Institutions (MIs) are encouraged to submit proposals and join others in submitting proposals; however, no portion of this BAA will be set aside for HBCUs/MIs, small businesses or other socio-economic participation. All businesses, both small and large, are encouraged to submit proposals and compete for funding consideration.Federally Funded Research   Development Centers (FFRDCs), including Department of Energy National Laboratories, are not eligible to receive awards under this BAA.However, teaming arrangements between FFRDCs and eligible principal Offerors are allowed so long as such arrangements are permitted under the sponsoring agreement between the Government and the specific FFRDC.Navy laboratories, military universities and warfare centers as well as other Department of Defense and civilian agency laboratories are also not eligible to receive awards under this BAA and should not directly submit either white papers or full proposals in response to this BAA. If any such organization is interested in one or more of the programs described herein, the organization should contact an appropriate ONR Technical POC to discuss its area of interest.University Affiliated Research Centers (UARCs) are eligible to submit proposals under this BAA unless precluded from doing so by their Department of Defense UARC contract.Teams are also encouraged and may submit proposals in any areas; however, Offerors must be willing to cooperate and exchange software, data and other information in an integrated program with other contractors, as well as with system integrators, selected by ONR.Disclosures of current and pending support made in this application may render an applicant ineligible for funding. Prior to award and throughout the period of performance,DoD may continue to request updated continuing and pending support information, which will be reviewed and may result in discontinuation of funding.</t>
  </si>
  <si>
    <t>Funding Opportunity Announcement ONR STEM Program</t>
  </si>
  <si>
    <t>Others (see text field entitled "Additional Information on Eligibility" for clarification) Disclosures of current and pending support made in this application may render an applicant ineligible for 
funding. Prior to award and throughout the period of performance, DoD may continue to request updated 
continuing and pending support information, which will be reviewed and may result in discontinuation of 
funding. 
All responsible sources from academia, non-profit organization and industry (for-profit) organizations 
may submit applications under this FOA. Foreign entities will be considered. 
Federally Funded Research   Development Centers (FFRDCs), including Department of Energy 
National Laboratories, are not eligible to receive awards under this FOA. However, teaming 
arrangements between FFRDCs and eligible principal applicants are allowed so long as they are 
permitted under the sponsoring agreement between the Government and the specific FFRDC. 
Historically Black Colleges and Universities, Hispanic-serving institutions, Tribal Colleges or Universities, Alaska Native-serving institutions, Native-Hawaiian-serving institutions, Asian American and Native American Pacific Islander-serving institutions, Native American-serving nontribal institutions. Minority Institutions and covered educational institutions in 10 USC 2362 are especially encouraged to apply. 
Federally Funded Research   Development Centers (FFRDCs), including Department of Energy National Laboratories, are not eligible to receive awards under this FOA. However, teaming arrangements between FFRDCs and eligible principal applicants are allowed so long as they are permitted under the sponsoring agreement between the Government and the specific FFRDC. 
Navy laboratories, military universities, and warfare centers as well as other DoD and civilian agency 
laboratories are also not eligible to receive awards under this FOA and must not submit either white papers or applications in response to this FOA.
University Affiliated Research Centers (UARC) are 
eligible to submit white papers and/or proposals under this FOA unless precluded from doing so by their DoD UARC contract.</t>
  </si>
  <si>
    <t xml:space="preserve">Disclosures of current and pending support made in this application may render an applicant ineligible for funding. Prior to award and throughout the period of performance, DoD may continue to request updated continuing and pending support information, which will be reviewed and may result in discontinuation of funding. All responsible sources from academia, non-profit organization and industry (for-profit) organizations may submit applications under this FOA. Foreign entities will be considered. Federally Funded Research   Development Centers (FFRDCs), including Department of Energy National Laboratories, are not eligible to receive awards under this FOA. However, teaming arrangements between FFRDCs and eligible principal applicants are allowed so long as they are permitted under the sponsoring agreement between the Government and the specific FFRDC. Historically Black Colleges and Universities, Hispanic-serving institutions, Tribal Colleges or Universities, Alaska Native-serving institutions, Native-Hawaiian-serving institutions, Asian American and Native American Pacific Islander-serving institutions, Native American-serving nontribal institutions, Minority Institutions and covered educational institutions in 10 USC 2362 are especially encouraged to apply. Federally Funded Research   Development Centers (FFRDCs), including Department of Energy National Laboratories, are not eligible to receive awards under this FOA. However, teaming arrangements between FFRDCs and eligible principal applicants are allowed so long as they are permitted under the sponsoring agreement between the Government and the specific FFRDC. Navy laboratories, military universities, and warfare centers as well as other DoD and civilian agency laboratories are also not eligible to receive awards under this FOA and must not submit either white papers or applications in response to this FOA. University Affiliated Research Centers (UARC) are eligible to submit white papers and/or proposals under this FOA unless precluded from doing so by their DoD UARC contract. </t>
  </si>
  <si>
    <t>USGS Earthquake Hazards Program External Research Support Announcement for Fiscal Year 2025</t>
  </si>
  <si>
    <t>Others (see text field entitled "Additional Information on Eligibility" for clarification) This Announcement is open to all individuals and entities EXCEPT for the ineligible categories listed below.The following proposals are NOT eligible for consideration under this Announcement:Proposals for regional seismic monitoring or establishing Data Centers.Proposals for long-term operation of geodetic networks or instruments.Proposals from U.S. Government agencies or U.S. Government employees.Proposals from Federally Funded Research and Development Centers (FFRDC).Proposals in which there is a real or apparent conflict of interest.Proposals principally involving the direct procurement of a product, equipment, or service.Proposals having subcontracts for 50 percent or greater of total direct costs.Notwithstanding the provisions of the Federal Grant and Cooperative Agreement Act of 1977 (31 U.S.C. 6301 6308), the United States Geological Survey is authorized to continue existing, and on and after November 10, 2003, to enter into new cooperative agreements directed towards a particular cooperator, in support of joint research and data collection activities with Federal, State, and academic partners funded by appropriations herein, including those that provide for space in cooperator facilities.</t>
  </si>
  <si>
    <t>The USGS Earthquake Hazards Program (EHP) issues this annual Announcement for assistance to support research in earthquake hazards, the physics of earthquakes, earthquake occurrence, and earthquake safety policy and address the Department of Interiorâ€™s Secretarial priorities. This activity is authorized by the Earthquake Hazards Reduction Act of 1977 (Public Law 95-124, 42 U.S.C. 7701 et. seq.), and as amended by the National Earthquake Hazards Reduction Program Reauthorization Act of 2018 (Public Law 115-307).</t>
  </si>
  <si>
    <t>FY23-24 Consolidated Rail Infrastructure and Safety Improvements Grant Program</t>
  </si>
  <si>
    <t>DOT-FRA</t>
  </si>
  <si>
    <t>DOT - Federal Railroad Administration</t>
  </si>
  <si>
    <t>Private institutions of higher education Eligible Applicants: 
1. A State (including the District of Columbia).
2. A group of States.
3. An Interstate Compact.
4. A public agency or publicly chartered authority established by 1 or more States.
5. A political subdivision of a State.
6. Amtrak or another rail carrier that provides intercity rail passenger transportation (as rail carrier and intercity rail passenger transportation are defined in section 24102).
7. A Class II railroad or Class III railroad, including any holding company of a Class II railroad or Class III railroad (as those terms are defined in section 20102).
8. An association representing 1 or more railroads described in paragraph (7).
9. A federally recognized Indian Tribe. 
10. Any rail carrier or rail equipment manufacturer in partnership with at least 1 of the entities described in paragraphs (1) through (5).
11. The Transportation Research Board and any entity with which it contracts in the development of rail-related research, including cooperative research programs.
12. A University transportation center engaged in rail-related research.
13. A non-profit labor organization representing a class or craft of employees of rail carriers or rail carrier contractors.</t>
  </si>
  <si>
    <t>This program funds projects that improve the safety, efficiency, and reliability of intercity passenger and freight rail.</t>
  </si>
  <si>
    <t>OSERS: RSA: Disability Innovation Fund (DIF)--Creating a 21st Century Workforce of Youth and Adults with Disabilities Through the Transformation of Education, Career, and Competitive Integrated Employment Model Demonstration Project, ALN 84.421F</t>
  </si>
  <si>
    <t>State governments 1.  Eligible Applicants:  	State agencies or their equivalents under State law: (1) State Educational Agency; (2) State Juvenile Justice agency; (3) State Developmental Disabilities agency; (4) State Department of Health; (5) State Department of Human Services; or (6) Designated State unit for Vocational Rehabilitation Services.   	Public, Private and Nonprofit Entities, including Indian Tribes and Institutions of Higher Education.Note:  The regulations in 34 CFR part 79 apply to all applicants except federally recognized Indian Tribes.  Note: The regulations in 34 CFR part 86 apply to Institutions of Higher Education only. 	Note: The regulation 34 CFR   75.51 How to prove nonprofit status applies to nonprofits and requires documentation to prove its nonprofit status. (a) Under some programs, an applicant must show that it is a nonprofit organization. (See the definition of nonprofit in 34 CFR 77.1.)  (b) An applicant may show that it is a nonprofit organization by any of the following means: (1) Proof that the Internal Revenue Service currently recognizes the applicant as an organization to which contributions are tax deductible under section 501(c)(3) of the Internal Revenue Code; (2) A statement from a State taxing body or the State attorney general certifying that: (i) The organization is a nonprofit organization operating within the State; and (ii) No part of its net earnings may lawfully benefit any private shareholder or individual; (3) A certified copy of the applicant's certificate of incorporation or similar document if it clearly establishes the nonprofit status of the applicant; (4) Any item described in paragraphs (b)(1) through (3) of this section if that item applies to a State or national parent organization, together with a statement by the State or parent organization that the applicant is a local nonprofit affiliate; or (5) For an entity that holds a sincerely held religious belief that it cannot apply for a determination as an entity that is tax-exempt under section 501(c)(3) of the Internal Revenue Code, evidence sufficient to establish that the entity would otherwise qualify as a nonprofit organization under paragraphs (b)(1) through (4) of this section.</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</si>
  <si>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 of the Disability Innovation Fund (DIF) Program, as provided by the Consolidated Appropriations Act, 2023 (Pub. L. 117-328), is to support innovative (as defined in this notice) activities aimed at increasing competitive integrated employment (CIE) as defined in section 7 of the Rehabilitation Act of 1973 (Rehabilitation Act) (29 U.S.C. 705(5))[1] for youth and other individuals with disabilities.  
Assistance Listing Number (ALN) 84.421F. 
[1] See 34 CFR 361.5(c)(9) for the regulatory definition of "competitive integrated employment," which further clarifies the definition in the Rehabilitation Act.</t>
  </si>
  <si>
    <t>Commercial Supersonic Technology (CST) Project</t>
  </si>
  <si>
    <t xml:space="preserve">Amendment 3 to the NASA ARMD Research Opportunities in Aeronautics (ROA) 2024 NRA has been posted on the NSPIRES web site. Commercial Supersonic Technology seeks proposals for a fuel injector design concept and fabrication for testing at NASA Glenn Research Center. The proposal for the fuel injector design aims to establish current state-of-the-art in low NOx supersonic cruise while meeting reasonable landing take-off NOx emissions. The technology application timeline is targeted for a supersonic aircraft with entry into service in the 2035+ timeframe. These efforts are in alignment with activities in the NASA Aeronautics Research Mission Directorate as outlined in the NASA Aeronautics Strategic Implementation Plan, specifically Strategic Thrust 2: Innovation in Commercial High-Speed Aircraft. Notices of Intent (NOIs) are not required for this solicitation. Proposals are due May 31, 2024. </t>
  </si>
  <si>
    <t>Early Stage Innovations</t>
  </si>
  <si>
    <t>Others (see text field entitled "Additional Information on Eligibility" for clarification) See the full solicitation for eligibility requirements</t>
  </si>
  <si>
    <t xml:space="preserve">The National Aeronautics and Space Administration (NASA) Headquarters has released a solicitation, titled Early Stage Innovations (ESI), as an appendix to the Space Technology Mission Directorate (STMD) umbrella NASA Research Announcement (NRA) titled "Space Technology Research, Development, Demonstration, and Infusion 2024 (SpaceTech REDDI 2024),â€ on April 4, 2024. The ESI solicitation is available by opening the NSPIRES homepage at https://nspires.nasaprs.com/, selecting â€œOpenâ€ under "Solicitations," and searching "Early Stage Innovations (ESI24)" under Keywords. The Space Technology Research Grants (STRG) Program within STMD seeks proposals from accredited U.S. universities to develop unique, disruptive, or transformational space technologies that have the potential to lead to dramatic improvements at the system level â€” performance, weight, cost, reliability, operational simplicity, or other figures of merit associated with spaceflight hardware or missions. The projected impact at the system level must be substantial and clearly identified. Only accredited U.S. universities are eligible to submit proposals. Teaming is permitted â€“ see solicitation for complete eligibility requirements as well as teaming restrictions. A Principal Investigator (see solicitation for restrictions) or Co-Investigator may participate in no more than two proposals in response to this solicitation. NASA encourages submission of ESI proposals on behalf of tenure-track or tenured faculty members at all U.S. universities and especially encourages proposals submitted on behalf of and/or that include as team members women, members of underrepresented minority groups, and persons with disabilities. The solicitation exclusively seeks proposals that are responsive to one of the following two topics: Topic 1 â€“ Computational Materials Engineering for Lunar Metals Welding Topic 2 â€“ Passive Lunar Dust Control through Advanced Materials and Surface Engineering NASA anticipates addressing other topics in future ESI Appendix releases. The financial and programmatic support for ESI comes from the Space Technology Research Grants Program within the Space Technology Mission Directorate. Awards are planned to start in January 2025. NASA plans to make approximately 6 awards as a result of this ESI solicitation, subject to the receipt of meritorious proposals. The actual number of awards will depend on the quality of the proposals received; NASA reserves the right to make no awards under this solicitation. STMD is strongly committed to ensuring that proposal review is performed in an equitable and fair manner that reduces the impacts of any unconscious biases. To this end, this Appendix will employ a Dual-Anonymous Peer Review (DAPR) process to evaluate proposals. Using DAPR, not only are proposers not told the identities of the reviewers, but the identities of the proposers (personnel and organization names) will not be shared with the reviewers until after the technical review of all anonymized proposals has been completed. All proposals must be submitted electronically through NSPIRES by an authorized organizational representative. Notices of Intent (strongly encouraged) are due by May 9, 2024, with proposals due on or before June 6, 2024, 5 pm Eastern. Detailed submission instructions and due dates are provided in the solicitation. Potential proposers and their proposing organizations are urged to familiarize themselves with the submission system, ensure they are registered in NSPIRES, and submit the required proposal materials well in advance of the deadline. All technical and programmatic comments and questions may be addressed by email to the Space Technology Research Grants Program Executive, at hq-esi-call@mail.nasa.gov. Responses to inquiries will be answered by email and may also be included in the Frequently Asked Questions (FAQ) documents located on the NSPIRES page associated with the solicitation; anonymity of persons/institutions who submit questions will be preserved. </t>
  </si>
  <si>
    <t>ROSES 2024: D.18 Euclid General Investigator Program</t>
  </si>
  <si>
    <t xml:space="preserve">PLEASE NOTE: this program has MANDATORY Notices of Intent, which are due via NSPIRES by July 15,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</si>
  <si>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Mathematical Foundations of Digital Twins</t>
  </si>
  <si>
    <t>The Division of Mathematical Sciences (DMS) in the Directorate for Mathematical and Physical Sciences (MPS) at the National Science Foundation (NSF) and the Air Force Office of Scientific Research (AFOSR) plan to jointly support foundational mathematical and statistical research on Digital Twins in applied sciences. Recent years have witnessed a significant increase in the demand and interest in applications that involve collaborative teams developing and analyzing Digital Twins to support decision making in various fields, including science, engineering, medicine, urban planning, and more. Both agencies recognize the need to promote research aiming to stimulate an interplay between mathematics/statistics/computation and practical applications in the realm of Digital Twins. This program encourages new collaborative efforts within the realm of Digital Twins, aiming at stimulating fundamental research innovation, pushing, and expanding the boundaries of knowledge, and exploring new frontiers in mathematics and computation for Digital Twin development, and its applications. By leveraging this synergy, the program aims to harness science, technology, and innovation to address some of our Society s most pressing challenges.</t>
  </si>
  <si>
    <t>Foundations for Digital Twins as Catalyzers of Biomedical Technological Innovation</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</si>
  <si>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</si>
  <si>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Foundations for Digital Twins as Catalyzers of Biomedical Technological Innovation (FDT-BioTech) program supports inherently interdisciplinary research projects that underpin the mathematical and engineering foundations behind the development and use of digital twins and synthetic data in biomedical and healthcare applications, with a particular focus on digital, in silico models used in the evaluation of medical devices and the relevance of the developed models in addressing current and emerging challenges affecting the development and assessment of biomedical technologies. The goal of the FDT-BioTech initiative is to catalyze biomedical technological innovation through new foundational development of methods and algorithms relevant to digital twins and synthetic humans.</t>
  </si>
  <si>
    <t>Probability</t>
  </si>
  <si>
    <t>The Probability Program supports research on the theory and applications of probability. Subfields include discrete probability, stochastic processes, limit theory, interacting particle systems, stochastic differential and partial differential equations, and Markov processes. Research in probability which involves applications to other areas of science and engineering is especially encouraged. 
Conferences
Principal Investigators should carefully read the program solicitation  Conferences and Workshops in the Mathematical Sciences  (link below) to obtain important information regarding the substance of proposals for conferences, workshops, summer/winter schools, and similar activities. Conference and workshop proposals should be submitted eight months before the requested start date.</t>
  </si>
  <si>
    <t>Carbon Markets Local Partner and Sub-Partner Outreach   Request for Information</t>
  </si>
  <si>
    <t>USAID-MEX</t>
  </si>
  <si>
    <t>Mexico USAID-Mexico City</t>
  </si>
  <si>
    <t>Carbon Markets Local Partner and Sub-Partner Outreach â€“ Request for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</si>
</sst>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_);[Red]&quot;($&quot;#,##0\)"/>
  </numFmts>
  <fonts count="16"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rgb="FF0563C1"/>
      <name val="Calibri"/>
      <family val="2"/>
      <charset val="1"/>
    </font>
    <font>
      <sz val="11"/>
      <color rgb="FF000000"/>
      <name val="Calibri"/>
      <family val="2"/>
      <charset val="1"/>
    </font>
    <font>
      <sz val="11"/>
      <name val="Calibri"/>
      <family val="2"/>
    </font>
    <font>
      <u/>
      <sz val="11"/>
      <name val="Calibri"/>
      <family val="2"/>
    </font>
    <font>
      <b/>
      <sz val="11"/>
      <name val="Calibri"/>
      <family val="2"/>
    </font>
    <font>
      <sz val="11"/>
      <name val="Calibri"/>
      <family val="2"/>
      <charset val="1"/>
    </font>
    <font>
      <sz val="14"/>
      <color theme="0"/>
      <name val="Calibri"/>
      <charset val="1"/>
    </font>
    <font>
      <sz val="16"/>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14">
    <xf numFmtId="0" fontId="0" fillId="0" borderId="0"/>
    <xf numFmtId="0" fontId="7" fillId="0" borderId="0" applyBorder="0" applyProtection="0"/>
    <xf numFmtId="44" fontId="8"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1">
    <xf numFmtId="0" fontId="0" fillId="0" borderId="0" xfId="0"/>
    <xf numFmtId="0" fontId="0" fillId="3" borderId="1" xfId="0" applyFill="1" applyBorder="1" applyAlignment="1">
      <alignment horizontal="lef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2" borderId="1" xfId="0" applyFill="1" applyBorder="1" applyAlignment="1">
      <alignment vertical="center" wrapText="1"/>
    </xf>
    <xf numFmtId="0" fontId="0" fillId="3" borderId="2" xfId="0" applyFill="1" applyBorder="1" applyAlignment="1">
      <alignment vertical="center"/>
    </xf>
    <xf numFmtId="0" fontId="0" fillId="3" borderId="2" xfId="0" applyFill="1" applyBorder="1" applyAlignment="1">
      <alignment vertical="center" wrapText="1"/>
    </xf>
    <xf numFmtId="0" fontId="0" fillId="3" borderId="0" xfId="0" applyFill="1" applyAlignment="1">
      <alignment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0" fillId="0" borderId="2" xfId="0" applyBorder="1"/>
    <xf numFmtId="0" fontId="13" fillId="4"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vertical="center"/>
    </xf>
    <xf numFmtId="0" fontId="12" fillId="3" borderId="1" xfId="0" applyFont="1" applyFill="1" applyBorder="1" applyAlignment="1">
      <alignment horizontal="left" vertical="center" wrapText="1"/>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0" fillId="3" borderId="1" xfId="0" applyFill="1" applyBorder="1" applyAlignment="1">
      <alignment wrapText="1"/>
    </xf>
    <xf numFmtId="0" fontId="12" fillId="3" borderId="1" xfId="0" applyFont="1" applyFill="1" applyBorder="1" applyAlignment="1">
      <alignment horizontal="center" vertical="center"/>
    </xf>
    <xf numFmtId="0" fontId="14" fillId="0" borderId="1" xfId="0" applyFont="1" applyBorder="1"/>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44" fontId="0" fillId="0" borderId="1" xfId="2" applyFont="1" applyFill="1" applyBorder="1" applyAlignment="1">
      <alignment vertical="center" wrapText="1"/>
    </xf>
    <xf numFmtId="14" fontId="0" fillId="0" borderId="1" xfId="0" applyNumberFormat="1" applyBorder="1" applyAlignment="1">
      <alignment vertical="center" wrapText="1"/>
    </xf>
    <xf numFmtId="14" fontId="0" fillId="0" borderId="1" xfId="0" applyNumberFormat="1" applyBorder="1"/>
    <xf numFmtId="14" fontId="13" fillId="4" borderId="1" xfId="0" applyNumberFormat="1" applyFont="1" applyFill="1" applyBorder="1" applyAlignment="1">
      <alignment vertical="center" wrapText="1"/>
    </xf>
    <xf numFmtId="14" fontId="0" fillId="0" borderId="1" xfId="0" applyNumberFormat="1" applyBorder="1" applyAlignment="1">
      <alignment vertical="center"/>
    </xf>
    <xf numFmtId="14" fontId="0" fillId="0" borderId="2" xfId="0" applyNumberFormat="1" applyBorder="1"/>
    <xf numFmtId="14" fontId="0" fillId="0" borderId="1" xfId="0" applyNumberForma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0" fillId="0" borderId="1" xfId="2" applyNumberFormat="1" applyFont="1" applyFill="1" applyBorder="1" applyAlignment="1">
      <alignment vertical="center" wrapText="1"/>
    </xf>
    <xf numFmtId="0" fontId="0" fillId="0" borderId="1" xfId="2" applyNumberFormat="1" applyFont="1" applyFill="1" applyBorder="1"/>
    <xf numFmtId="44" fontId="0" fillId="2" borderId="1" xfId="2" applyFont="1" applyFill="1" applyBorder="1" applyAlignment="1">
      <alignment vertical="center" wrapText="1"/>
    </xf>
    <xf numFmtId="14" fontId="0" fillId="0" borderId="1" xfId="0" applyNumberFormat="1" applyBorder="1" applyAlignment="1">
      <alignment horizontal="right" vertical="center"/>
    </xf>
    <xf numFmtId="14" fontId="0" fillId="0" borderId="1" xfId="0" applyNumberFormat="1" applyBorder="1" applyAlignment="1">
      <alignment horizontal="right" vertical="center" wrapText="1"/>
    </xf>
    <xf numFmtId="14" fontId="0" fillId="3" borderId="1" xfId="0" applyNumberFormat="1" applyFill="1" applyBorder="1" applyAlignment="1">
      <alignment horizontal="right" vertical="center" wrapText="1"/>
    </xf>
    <xf numFmtId="14" fontId="0" fillId="3" borderId="1" xfId="0" applyNumberFormat="1" applyFill="1" applyBorder="1" applyAlignment="1">
      <alignment horizontal="right" vertical="center"/>
    </xf>
    <xf numFmtId="14" fontId="0" fillId="3" borderId="2" xfId="0" applyNumberFormat="1" applyFill="1" applyBorder="1" applyAlignment="1">
      <alignment horizontal="right" vertical="center"/>
    </xf>
    <xf numFmtId="14" fontId="13" fillId="4" borderId="1" xfId="0" applyNumberFormat="1" applyFont="1" applyFill="1" applyBorder="1" applyAlignment="1">
      <alignment horizontal="center" vertical="center" wrapText="1"/>
    </xf>
    <xf numFmtId="44" fontId="0" fillId="0" borderId="1" xfId="2" applyFont="1" applyBorder="1"/>
    <xf numFmtId="44" fontId="0" fillId="0" borderId="1" xfId="2" applyFont="1" applyBorder="1" applyAlignment="1">
      <alignment wrapText="1"/>
    </xf>
    <xf numFmtId="44" fontId="13" fillId="4" borderId="1" xfId="2" applyFont="1" applyFill="1" applyBorder="1" applyAlignment="1">
      <alignment vertical="center" wrapText="1"/>
    </xf>
    <xf numFmtId="44" fontId="0" fillId="0" borderId="1" xfId="2" applyFont="1" applyBorder="1" applyAlignment="1">
      <alignment vertical="center" wrapText="1"/>
    </xf>
    <xf numFmtId="44" fontId="0" fillId="0" borderId="1" xfId="2" applyFont="1" applyBorder="1" applyAlignment="1">
      <alignment vertical="center"/>
    </xf>
    <xf numFmtId="44" fontId="0" fillId="0" borderId="2" xfId="2" applyFont="1" applyBorder="1"/>
    <xf numFmtId="44" fontId="0" fillId="0" borderId="1" xfId="2" applyFont="1" applyBorder="1" applyAlignment="1">
      <alignment horizontal="right" vertical="center"/>
    </xf>
    <xf numFmtId="44" fontId="0" fillId="0" borderId="1" xfId="2" applyFont="1" applyBorder="1" applyAlignment="1">
      <alignment horizontal="right" vertical="center" wrapText="1"/>
    </xf>
    <xf numFmtId="44" fontId="13" fillId="4" borderId="1" xfId="2" applyFont="1" applyFill="1" applyBorder="1" applyAlignment="1">
      <alignment horizontal="center" vertical="center" wrapText="1"/>
    </xf>
    <xf numFmtId="44" fontId="0" fillId="3" borderId="1" xfId="2" applyFont="1" applyFill="1" applyBorder="1" applyAlignment="1">
      <alignment horizontal="right" vertical="center" wrapText="1"/>
    </xf>
    <xf numFmtId="44" fontId="0" fillId="3" borderId="1" xfId="2" applyFont="1" applyFill="1" applyBorder="1" applyAlignment="1">
      <alignment horizontal="right" vertical="center"/>
    </xf>
    <xf numFmtId="44" fontId="0" fillId="3" borderId="2" xfId="2" applyFont="1" applyFill="1" applyBorder="1" applyAlignment="1">
      <alignment horizontal="right" vertical="center"/>
    </xf>
    <xf numFmtId="44" fontId="0" fillId="3" borderId="1" xfId="2" applyFont="1" applyFill="1" applyBorder="1" applyAlignment="1">
      <alignment wrapText="1"/>
    </xf>
    <xf numFmtId="44" fontId="0" fillId="3" borderId="1" xfId="2" applyFont="1" applyFill="1" applyBorder="1" applyAlignment="1">
      <alignment horizontal="center" vertical="center"/>
    </xf>
    <xf numFmtId="44" fontId="0" fillId="3" borderId="1" xfId="2" applyFont="1" applyFill="1" applyBorder="1" applyAlignment="1">
      <alignment vertical="center"/>
    </xf>
    <xf numFmtId="44" fontId="0" fillId="3" borderId="2" xfId="2" applyFont="1" applyFill="1" applyBorder="1" applyAlignment="1">
      <alignment horizontal="center" vertical="center"/>
    </xf>
    <xf numFmtId="14" fontId="0" fillId="2" borderId="1" xfId="0" applyNumberFormat="1" applyFill="1" applyBorder="1" applyAlignment="1">
      <alignment vertical="center" wrapText="1"/>
    </xf>
    <xf numFmtId="44" fontId="0" fillId="0" borderId="1" xfId="2" applyFont="1" applyFill="1" applyBorder="1"/>
    <xf numFmtId="44" fontId="0" fillId="0" borderId="1" xfId="2" applyFont="1" applyFill="1" applyBorder="1" applyAlignment="1">
      <alignment horizontal="right"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right" vertical="center" wrapText="1"/>
    </xf>
    <xf numFmtId="44" fontId="9" fillId="0" borderId="1" xfId="2" applyFont="1" applyFill="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1" xfId="1" applyBorder="1" applyAlignment="1">
      <alignment vertical="center" wrapText="1"/>
    </xf>
    <xf numFmtId="0" fontId="9" fillId="0" borderId="1" xfId="0" applyFont="1" applyBorder="1" applyAlignment="1">
      <alignment vertical="center"/>
    </xf>
    <xf numFmtId="14"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6" fontId="0" fillId="0" borderId="1" xfId="0" applyNumberFormat="1" applyBorder="1" applyAlignment="1">
      <alignment vertical="center" wrapText="1"/>
    </xf>
    <xf numFmtId="0" fontId="15" fillId="0" borderId="1" xfId="0" applyFont="1" applyBorder="1" applyAlignment="1">
      <alignment vertical="center" wrapText="1"/>
    </xf>
    <xf numFmtId="15" fontId="0" fillId="0" borderId="1" xfId="0" applyNumberFormat="1" applyBorder="1" applyAlignment="1">
      <alignment vertical="center" wrapText="1"/>
    </xf>
    <xf numFmtId="44" fontId="0" fillId="0" borderId="0" xfId="2" applyFont="1" applyFill="1" applyBorder="1" applyAlignment="1">
      <alignment vertical="center" wrapText="1"/>
    </xf>
    <xf numFmtId="0" fontId="10" fillId="0" borderId="1" xfId="1" applyFont="1" applyBorder="1" applyAlignment="1">
      <alignment vertical="center"/>
    </xf>
    <xf numFmtId="0" fontId="10" fillId="0" borderId="1" xfId="1" applyFont="1" applyBorder="1" applyAlignment="1" applyProtection="1">
      <alignment vertical="center"/>
    </xf>
    <xf numFmtId="14"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9" fillId="0" borderId="1" xfId="1" applyFont="1" applyBorder="1" applyAlignment="1" applyProtection="1">
      <alignment horizontal="left" vertical="center" wrapText="1"/>
    </xf>
    <xf numFmtId="0" fontId="9" fillId="0" borderId="1" xfId="0" applyFont="1" applyBorder="1" applyAlignment="1">
      <alignment horizontal="center" vertical="center"/>
    </xf>
    <xf numFmtId="14" fontId="15" fillId="0" borderId="1" xfId="0" applyNumberFormat="1" applyFont="1" applyBorder="1"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cellXfs>
  <cellStyles count="14">
    <cellStyle name="Currency" xfId="2" builtinId="4"/>
    <cellStyle name="Hyperlink" xfId="1" builtinId="8"/>
    <cellStyle name="Normal" xfId="0" builtinId="0"/>
    <cellStyle name="Normal 2" xfId="3" xr:uid="{96261F37-95C4-4EAD-B45A-8EE590EBD90B}"/>
    <cellStyle name="Normal 2 2" xfId="9" xr:uid="{E7473403-62C6-45F0-9DD6-41B63C2BE4B6}"/>
    <cellStyle name="Normal 3" xfId="4" xr:uid="{B55A609E-5C7E-4298-BC6F-536D3329D25D}"/>
    <cellStyle name="Normal 3 2" xfId="10" xr:uid="{3B659A14-636D-4517-A849-DD07A9D866CF}"/>
    <cellStyle name="Normal 4" xfId="5" xr:uid="{985B9A20-8DC2-4A71-9621-DD94F925F52D}"/>
    <cellStyle name="Normal 4 2" xfId="11" xr:uid="{742395E4-292A-4762-9923-E36ECBF0CF2D}"/>
    <cellStyle name="Normal 5" xfId="6" xr:uid="{876B10C7-0151-4DA0-A118-D44D73E2300E}"/>
    <cellStyle name="Normal 5 2" xfId="12" xr:uid="{47CE002E-A045-4ADB-8025-C8DCC0573065}"/>
    <cellStyle name="Normal 6" xfId="7" xr:uid="{DA70A2FD-88BE-43B2-A8B2-9B1793F57EB6}"/>
    <cellStyle name="Normal 6 2" xfId="13" xr:uid="{DED01EF9-089E-4882-9DE0-ED1BBD31129B}"/>
    <cellStyle name="Normal 7" xfId="8" xr:uid="{8EFB0F3B-A813-4DE0-85EE-8791174CD0CB}"/>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F6600"/>
      <rgbColor rgb="FF666699"/>
      <rgbColor rgb="FF969696"/>
      <rgbColor rgb="FF203864"/>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rants.gov/view-opportunity.html?oppId=3373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6E73-8057-40B8-BCB5-F7AD99896B85}">
  <dimension ref="A1:J10"/>
  <sheetViews>
    <sheetView tabSelected="1" zoomScaleNormal="100" workbookViewId="0">
      <selection activeCell="A4" sqref="A4"/>
    </sheetView>
  </sheetViews>
  <sheetFormatPr defaultColWidth="9.36328125" defaultRowHeight="14.5" x14ac:dyDescent="0.35"/>
  <cols>
    <col min="1" max="1" width="21" style="14" customWidth="1"/>
    <col min="2" max="2" width="23.6328125" style="14" customWidth="1"/>
    <col min="3" max="3" width="18.36328125" style="14" customWidth="1"/>
    <col min="4" max="4" width="21.36328125" style="14" customWidth="1"/>
    <col min="5" max="5" width="14.453125" style="32" customWidth="1"/>
    <col min="6" max="6" width="20.6328125" style="50" customWidth="1"/>
    <col min="7" max="7" width="22.6328125" style="50" customWidth="1"/>
    <col min="8" max="8" width="15.54296875" style="14" customWidth="1"/>
    <col min="9" max="9" width="66.6328125" style="14" customWidth="1"/>
    <col min="10" max="10" width="60.6328125" style="14" customWidth="1"/>
    <col min="11" max="16384" width="9.36328125" style="14"/>
  </cols>
  <sheetData>
    <row r="1" spans="1:10" s="17" customFormat="1" ht="31.25" customHeight="1" x14ac:dyDescent="0.5">
      <c r="A1" s="26" t="s">
        <v>532</v>
      </c>
      <c r="B1" s="14"/>
      <c r="C1" s="14"/>
      <c r="D1" s="14"/>
      <c r="E1" s="32"/>
      <c r="F1" s="50"/>
      <c r="G1" s="51"/>
    </row>
    <row r="2" spans="1:10" s="12" customFormat="1" x14ac:dyDescent="0.35">
      <c r="A2" s="14" t="s">
        <v>246</v>
      </c>
      <c r="B2" s="14"/>
      <c r="C2" s="14"/>
      <c r="D2" s="14"/>
      <c r="E2" s="32"/>
      <c r="F2" s="51"/>
      <c r="G2" s="51"/>
      <c r="H2" s="17"/>
      <c r="I2" s="17"/>
      <c r="J2" s="17"/>
    </row>
    <row r="3" spans="1:10" s="20" customFormat="1" ht="18.5" x14ac:dyDescent="0.35">
      <c r="A3" s="16" t="s">
        <v>121</v>
      </c>
      <c r="B3" s="16" t="s">
        <v>122</v>
      </c>
      <c r="C3" s="16" t="s">
        <v>0</v>
      </c>
      <c r="D3" s="16" t="s">
        <v>123</v>
      </c>
      <c r="E3" s="33" t="s">
        <v>190</v>
      </c>
      <c r="F3" s="52" t="s">
        <v>124</v>
      </c>
      <c r="G3" s="52" t="s">
        <v>205</v>
      </c>
      <c r="H3" s="16" t="s">
        <v>125</v>
      </c>
      <c r="I3" s="16" t="s">
        <v>112</v>
      </c>
      <c r="J3" s="16" t="s">
        <v>1</v>
      </c>
    </row>
    <row r="4" spans="1:10" s="12" customFormat="1" ht="101.5" x14ac:dyDescent="0.35">
      <c r="A4" s="13" t="str">
        <f>HYPERLINK("https://www.grants.gov/view-opportunity.html?oppId=350442","80JSC024NA001")</f>
        <v>80JSC024NA001</v>
      </c>
      <c r="B4" s="13" t="s">
        <v>305</v>
      </c>
      <c r="C4" s="13" t="s">
        <v>296</v>
      </c>
      <c r="D4" s="13" t="s">
        <v>297</v>
      </c>
      <c r="E4" s="31" t="s">
        <v>300</v>
      </c>
      <c r="F4" s="53" t="s">
        <v>102</v>
      </c>
      <c r="G4" s="53" t="s">
        <v>102</v>
      </c>
      <c r="H4" s="13"/>
      <c r="I4" s="13" t="s">
        <v>298</v>
      </c>
      <c r="J4" s="13" t="s">
        <v>306</v>
      </c>
    </row>
    <row r="5" spans="1:10" s="13" customFormat="1" ht="290" x14ac:dyDescent="0.35">
      <c r="A5" s="12" t="str">
        <f>HYPERLINK("https://www.grants.gov/view-opportunity.html?oppId=344911","23-531")</f>
        <v>23-531</v>
      </c>
      <c r="B5" s="13" t="s">
        <v>154</v>
      </c>
      <c r="C5" s="12" t="s">
        <v>10</v>
      </c>
      <c r="D5" s="13" t="s">
        <v>11</v>
      </c>
      <c r="E5" s="34"/>
      <c r="F5" s="54" t="s">
        <v>110</v>
      </c>
      <c r="G5" s="54" t="s">
        <v>17</v>
      </c>
      <c r="H5" s="12">
        <v>40</v>
      </c>
      <c r="I5" s="13" t="s">
        <v>155</v>
      </c>
      <c r="J5" s="13" t="s">
        <v>156</v>
      </c>
    </row>
    <row r="6" spans="1:10" s="12" customFormat="1" x14ac:dyDescent="0.35">
      <c r="A6" s="14"/>
      <c r="B6" s="14"/>
      <c r="C6" s="14"/>
      <c r="D6" s="14"/>
      <c r="E6" s="32"/>
      <c r="F6" s="50"/>
      <c r="G6" s="50"/>
      <c r="H6" s="14"/>
      <c r="I6" s="14"/>
      <c r="J6" s="14"/>
    </row>
    <row r="7" spans="1:10" x14ac:dyDescent="0.35">
      <c r="A7" s="15"/>
      <c r="B7" s="15"/>
      <c r="C7" s="15"/>
      <c r="D7" s="15"/>
      <c r="E7" s="35"/>
      <c r="F7" s="55"/>
      <c r="G7" s="55"/>
      <c r="H7" s="15"/>
      <c r="I7" s="15"/>
      <c r="J7" s="15"/>
    </row>
    <row r="9" spans="1:10" s="12" customFormat="1" x14ac:dyDescent="0.35">
      <c r="A9" s="14"/>
      <c r="B9" s="14"/>
      <c r="C9" s="14"/>
      <c r="D9" s="14"/>
      <c r="E9" s="32"/>
      <c r="F9" s="50"/>
      <c r="G9" s="50"/>
      <c r="H9" s="14"/>
      <c r="I9" s="14"/>
      <c r="J9" s="14"/>
    </row>
    <row r="10" spans="1:10" s="12" customFormat="1" x14ac:dyDescent="0.35">
      <c r="A10" s="14"/>
      <c r="B10" s="14"/>
      <c r="C10" s="14"/>
      <c r="D10" s="14"/>
      <c r="E10" s="32"/>
      <c r="F10" s="50"/>
      <c r="G10" s="50"/>
      <c r="H10" s="14"/>
      <c r="I10" s="14"/>
      <c r="J10" s="14"/>
    </row>
  </sheetData>
  <sortState xmlns:xlrd2="http://schemas.microsoft.com/office/spreadsheetml/2017/richdata2" ref="A4:J5">
    <sortCondition ref="C4:C5"/>
    <sortCondition ref="E4:E5"/>
  </sortState>
  <conditionalFormatting sqref="A1">
    <cfRule type="duplicateValues" dxfId="15" priority="3"/>
  </conditionalFormatting>
  <conditionalFormatting sqref="A2:A3">
    <cfRule type="duplicateValues" dxfId="14"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9"/>
  <sheetViews>
    <sheetView zoomScale="112" zoomScaleNormal="112" workbookViewId="0">
      <selection activeCell="A5" sqref="A5"/>
    </sheetView>
  </sheetViews>
  <sheetFormatPr defaultColWidth="8.54296875" defaultRowHeight="14.5" x14ac:dyDescent="0.35"/>
  <cols>
    <col min="1" max="1" width="25.54296875" style="2" customWidth="1"/>
    <col min="2" max="2" width="23.6328125" style="1" customWidth="1"/>
    <col min="3" max="3" width="18.36328125" style="1" customWidth="1"/>
    <col min="4" max="4" width="21.36328125" style="1" customWidth="1"/>
    <col min="5" max="5" width="14.453125" style="47" customWidth="1"/>
    <col min="6" max="6" width="20.6328125" style="60" customWidth="1"/>
    <col min="7" max="7" width="22.6328125" style="63" customWidth="1"/>
    <col min="8" max="8" width="15.54296875" style="2" customWidth="1"/>
    <col min="9" max="9" width="66.6328125" style="8" customWidth="1"/>
    <col min="10" max="10" width="60.6328125" style="3" customWidth="1"/>
    <col min="11" max="16384" width="8.54296875" style="2"/>
  </cols>
  <sheetData>
    <row r="1" spans="1:129" s="17" customFormat="1" ht="31.25" customHeight="1" x14ac:dyDescent="0.5">
      <c r="A1" s="26" t="s">
        <v>532</v>
      </c>
      <c r="B1" s="14"/>
      <c r="C1" s="14"/>
      <c r="D1" s="14"/>
      <c r="E1" s="44"/>
      <c r="F1" s="56"/>
      <c r="G1" s="51"/>
    </row>
    <row r="2" spans="1:129" s="12" customFormat="1" x14ac:dyDescent="0.35">
      <c r="A2" s="14" t="s">
        <v>246</v>
      </c>
      <c r="B2" s="14"/>
      <c r="C2" s="14"/>
      <c r="D2" s="14"/>
      <c r="E2" s="44"/>
      <c r="F2" s="57"/>
      <c r="G2" s="51"/>
      <c r="H2" s="17"/>
      <c r="I2" s="17"/>
      <c r="J2" s="17"/>
    </row>
    <row r="3" spans="1:129" s="20" customFormat="1" ht="18.5" x14ac:dyDescent="0.35">
      <c r="A3" s="16" t="s">
        <v>121</v>
      </c>
      <c r="B3" s="16" t="s">
        <v>122</v>
      </c>
      <c r="C3" s="16" t="s">
        <v>0</v>
      </c>
      <c r="D3" s="16" t="s">
        <v>123</v>
      </c>
      <c r="E3" s="49" t="s">
        <v>190</v>
      </c>
      <c r="F3" s="58" t="s">
        <v>124</v>
      </c>
      <c r="G3" s="52" t="s">
        <v>205</v>
      </c>
      <c r="H3" s="16" t="s">
        <v>125</v>
      </c>
      <c r="I3" s="16" t="s">
        <v>112</v>
      </c>
      <c r="J3" s="16" t="s">
        <v>1</v>
      </c>
    </row>
    <row r="4" spans="1:129" s="5" customFormat="1" ht="145" x14ac:dyDescent="0.35">
      <c r="A4" s="5" t="str">
        <f>HYPERLINK("https://grants.gov/search-results-detail/353383","M24AS00314")</f>
        <v>M24AS00314</v>
      </c>
      <c r="B4" s="5" t="s">
        <v>534</v>
      </c>
      <c r="C4" s="5" t="s">
        <v>535</v>
      </c>
      <c r="D4" s="5" t="s">
        <v>536</v>
      </c>
      <c r="E4" s="66">
        <v>45415</v>
      </c>
      <c r="F4" s="43">
        <v>210000</v>
      </c>
      <c r="G4" s="43">
        <v>160000</v>
      </c>
      <c r="I4" s="5" t="s">
        <v>537</v>
      </c>
      <c r="J4" s="5" t="s">
        <v>538</v>
      </c>
    </row>
    <row r="5" spans="1:129" s="13" customFormat="1" ht="130.5" x14ac:dyDescent="0.35">
      <c r="A5" s="13" t="str">
        <f>HYPERLINK("https://www.grants.gov/view-opportunity.html?oppId=350458","G24AS00500")</f>
        <v>G24AS00500</v>
      </c>
      <c r="B5" s="13" t="s">
        <v>301</v>
      </c>
      <c r="C5" s="13" t="s">
        <v>292</v>
      </c>
      <c r="D5" s="13" t="s">
        <v>293</v>
      </c>
      <c r="E5" s="45" t="s">
        <v>302</v>
      </c>
      <c r="F5" s="68" t="s">
        <v>103</v>
      </c>
      <c r="G5" s="68" t="s">
        <v>102</v>
      </c>
      <c r="I5" s="13" t="s">
        <v>303</v>
      </c>
      <c r="J5" s="13" t="s">
        <v>304</v>
      </c>
    </row>
    <row r="6" spans="1:129" s="13" customFormat="1" ht="29" x14ac:dyDescent="0.35">
      <c r="A6" s="69" t="str">
        <f>HYPERLINK("https://www.grants.gov/view-opportunity.html?oppId=291594","TTHP")</f>
        <v>TTHP</v>
      </c>
      <c r="B6" s="69" t="s">
        <v>6</v>
      </c>
      <c r="C6" s="69" t="s">
        <v>7</v>
      </c>
      <c r="D6" s="69" t="s">
        <v>8</v>
      </c>
      <c r="E6" s="70">
        <v>45535</v>
      </c>
      <c r="F6" s="71">
        <v>100000</v>
      </c>
      <c r="G6" s="71" t="s">
        <v>9</v>
      </c>
      <c r="H6" s="72">
        <v>100</v>
      </c>
      <c r="I6" s="73"/>
      <c r="J6" s="69" t="s">
        <v>6</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row>
    <row r="7" spans="1:129" s="13" customFormat="1" ht="409.5" x14ac:dyDescent="0.35">
      <c r="A7" s="69" t="str">
        <f>HYPERLINK("https://www.grants.gov/view-opportunity.html?oppId=330934","21-552")</f>
        <v>21-552</v>
      </c>
      <c r="B7" s="69" t="s">
        <v>12</v>
      </c>
      <c r="C7" s="69" t="s">
        <v>10</v>
      </c>
      <c r="D7" s="69" t="s">
        <v>11</v>
      </c>
      <c r="E7" s="70"/>
      <c r="F7" s="71">
        <v>50000</v>
      </c>
      <c r="G7" s="71" t="s">
        <v>13</v>
      </c>
      <c r="H7" s="72">
        <v>255</v>
      </c>
      <c r="I7" s="73"/>
      <c r="J7" s="69" t="s">
        <v>14</v>
      </c>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row>
    <row r="8" spans="1:129" s="13" customFormat="1" ht="409.5" x14ac:dyDescent="0.35">
      <c r="A8" s="13" t="str">
        <f>HYPERLINK("https://grants.gov/search-results-detail/352508","DE-FOA-0003267")</f>
        <v>DE-FOA-0003267</v>
      </c>
      <c r="B8" s="13" t="s">
        <v>432</v>
      </c>
      <c r="C8" s="13" t="s">
        <v>131</v>
      </c>
      <c r="D8" s="13" t="s">
        <v>120</v>
      </c>
      <c r="E8" s="31">
        <v>45411</v>
      </c>
      <c r="F8" s="30">
        <v>240000</v>
      </c>
      <c r="G8" s="30">
        <v>40000</v>
      </c>
      <c r="I8" s="13" t="s">
        <v>385</v>
      </c>
      <c r="J8" s="13" t="s">
        <v>433</v>
      </c>
    </row>
    <row r="9" spans="1:129" s="14" customFormat="1" x14ac:dyDescent="0.35">
      <c r="F9" s="67"/>
      <c r="G9" s="67"/>
    </row>
    <row r="10" spans="1:129" s="17" customFormat="1" x14ac:dyDescent="0.35">
      <c r="A10" s="13"/>
      <c r="B10" s="13"/>
      <c r="C10" s="13"/>
      <c r="D10" s="13"/>
      <c r="E10" s="45"/>
      <c r="F10" s="57"/>
      <c r="G10" s="5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row>
    <row r="11" spans="1:129" s="17" customFormat="1" x14ac:dyDescent="0.35">
      <c r="A11" s="13"/>
      <c r="B11" s="13"/>
      <c r="C11" s="13"/>
      <c r="D11" s="13"/>
      <c r="E11" s="45"/>
      <c r="F11" s="57"/>
      <c r="G11" s="5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row>
    <row r="12" spans="1:129" s="17" customFormat="1" x14ac:dyDescent="0.35">
      <c r="A12" s="13"/>
      <c r="B12" s="13"/>
      <c r="C12" s="13"/>
      <c r="D12" s="13"/>
      <c r="E12" s="45"/>
      <c r="F12" s="57"/>
      <c r="G12" s="5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row>
    <row r="13" spans="1:129" s="17" customFormat="1" x14ac:dyDescent="0.35">
      <c r="A13" s="13"/>
      <c r="B13" s="13"/>
      <c r="C13" s="13"/>
      <c r="D13" s="13"/>
      <c r="E13" s="45"/>
      <c r="F13" s="57"/>
      <c r="G13" s="5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row>
    <row r="14" spans="1:129" s="17" customFormat="1" x14ac:dyDescent="0.35">
      <c r="E14" s="45"/>
      <c r="F14" s="57"/>
      <c r="G14" s="51"/>
    </row>
    <row r="15" spans="1:129" s="17" customFormat="1" x14ac:dyDescent="0.35">
      <c r="E15" s="45"/>
      <c r="F15" s="57"/>
      <c r="G15" s="51"/>
    </row>
    <row r="16" spans="1:129" s="17" customFormat="1" x14ac:dyDescent="0.35">
      <c r="E16" s="45"/>
      <c r="F16" s="57"/>
      <c r="G16" s="51"/>
    </row>
    <row r="17" spans="1:129" s="17" customFormat="1" x14ac:dyDescent="0.35">
      <c r="E17" s="45"/>
      <c r="F17" s="57"/>
      <c r="G17" s="51"/>
    </row>
    <row r="18" spans="1:129" s="17" customFormat="1" x14ac:dyDescent="0.35">
      <c r="E18" s="45"/>
      <c r="F18" s="57"/>
      <c r="G18" s="51"/>
    </row>
    <row r="19" spans="1:129" s="17" customFormat="1" x14ac:dyDescent="0.35">
      <c r="E19" s="45"/>
      <c r="F19" s="57"/>
      <c r="G19" s="51"/>
    </row>
    <row r="20" spans="1:129" s="17" customFormat="1" x14ac:dyDescent="0.35">
      <c r="E20" s="45"/>
      <c r="F20" s="57"/>
      <c r="G20" s="51"/>
    </row>
    <row r="21" spans="1:129" s="12" customFormat="1" x14ac:dyDescent="0.35">
      <c r="A21" s="17"/>
      <c r="B21" s="17"/>
      <c r="C21" s="17"/>
      <c r="D21" s="17"/>
      <c r="E21" s="45"/>
      <c r="F21" s="57"/>
      <c r="G21" s="51"/>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row>
    <row r="22" spans="1:129" s="12" customFormat="1" x14ac:dyDescent="0.35">
      <c r="A22" s="17"/>
      <c r="B22" s="17"/>
      <c r="C22" s="17"/>
      <c r="D22" s="17"/>
      <c r="E22" s="45"/>
      <c r="F22" s="57"/>
      <c r="G22" s="51"/>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row>
    <row r="23" spans="1:129" s="12" customFormat="1" x14ac:dyDescent="0.35">
      <c r="A23" s="17"/>
      <c r="B23" s="17"/>
      <c r="C23" s="17"/>
      <c r="D23" s="17"/>
      <c r="E23" s="45"/>
      <c r="F23" s="57"/>
      <c r="G23" s="51"/>
      <c r="H23" s="17"/>
      <c r="I23" s="28"/>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row>
    <row r="24" spans="1:129" s="29" customFormat="1" x14ac:dyDescent="0.35">
      <c r="A24" s="17"/>
      <c r="B24" s="17"/>
      <c r="C24" s="17"/>
      <c r="D24" s="17"/>
      <c r="E24" s="45"/>
      <c r="F24" s="57"/>
      <c r="G24" s="51"/>
      <c r="H24" s="17"/>
      <c r="I24" s="17"/>
      <c r="J24" s="17"/>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row>
    <row r="25" spans="1:129" s="17" customFormat="1" ht="409.5" customHeight="1" x14ac:dyDescent="0.35">
      <c r="E25" s="45"/>
      <c r="F25" s="57"/>
      <c r="G25" s="51"/>
    </row>
    <row r="26" spans="1:129" x14ac:dyDescent="0.35">
      <c r="A26" s="24"/>
      <c r="B26" s="24"/>
      <c r="C26" s="24"/>
      <c r="D26" s="24"/>
      <c r="E26" s="46"/>
      <c r="F26" s="59"/>
      <c r="G26" s="62"/>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row>
    <row r="27" spans="1:129" x14ac:dyDescent="0.35">
      <c r="A27" s="24"/>
      <c r="B27" s="24"/>
      <c r="C27" s="24"/>
      <c r="D27" s="24"/>
      <c r="E27" s="46"/>
      <c r="F27" s="59"/>
      <c r="G27" s="62"/>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row>
    <row r="28" spans="1:129" x14ac:dyDescent="0.35">
      <c r="A28" s="24"/>
      <c r="B28" s="24"/>
      <c r="C28" s="24"/>
      <c r="D28" s="24"/>
      <c r="E28" s="46"/>
      <c r="F28" s="59"/>
      <c r="G28" s="62"/>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row>
    <row r="29" spans="1:129" x14ac:dyDescent="0.35">
      <c r="I29" s="3"/>
    </row>
    <row r="30" spans="1:129" x14ac:dyDescent="0.35">
      <c r="I30" s="3"/>
    </row>
    <row r="31" spans="1:129" x14ac:dyDescent="0.35">
      <c r="B31" s="3"/>
      <c r="C31" s="3"/>
      <c r="D31" s="3"/>
      <c r="G31" s="64"/>
      <c r="I31" s="3"/>
    </row>
    <row r="32" spans="1:129" x14ac:dyDescent="0.35">
      <c r="I32" s="3"/>
    </row>
    <row r="68" spans="2:10" x14ac:dyDescent="0.35">
      <c r="I68" s="11"/>
    </row>
    <row r="69" spans="2:10" s="6" customFormat="1" x14ac:dyDescent="0.35">
      <c r="B69" s="9"/>
      <c r="C69" s="9"/>
      <c r="D69" s="9"/>
      <c r="E69" s="48"/>
      <c r="F69" s="61"/>
      <c r="G69" s="65"/>
      <c r="I69" s="8"/>
      <c r="J69" s="7"/>
    </row>
  </sheetData>
  <sortState xmlns:xlrd2="http://schemas.microsoft.com/office/spreadsheetml/2017/richdata2" ref="A4:DY8">
    <sortCondition ref="C4:C8"/>
    <sortCondition ref="E4:E8"/>
  </sortState>
  <conditionalFormatting sqref="A1">
    <cfRule type="duplicateValues" dxfId="13" priority="3"/>
  </conditionalFormatting>
  <conditionalFormatting sqref="A2:A4">
    <cfRule type="duplicateValues" dxfId="12" priority="2"/>
  </conditionalFormatting>
  <conditionalFormatting sqref="A6:A8">
    <cfRule type="duplicateValues" dxfId="11" priority="1"/>
  </conditionalFormatting>
  <conditionalFormatting sqref="A10:A1048576 A5">
    <cfRule type="duplicateValues" dxfId="10" priority="199"/>
  </conditionalFormatting>
  <pageMargins left="0.7" right="0.7" top="0.75" bottom="0.75" header="0.511811023622047" footer="0.511811023622047"/>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zoomScale="99" zoomScaleNormal="99" workbookViewId="0">
      <selection activeCell="A4" sqref="A4"/>
    </sheetView>
  </sheetViews>
  <sheetFormatPr defaultColWidth="8.54296875" defaultRowHeight="14.5" x14ac:dyDescent="0.35"/>
  <cols>
    <col min="1" max="1" width="25.36328125" style="2" customWidth="1"/>
    <col min="2" max="2" width="23.6328125" style="1" customWidth="1"/>
    <col min="3" max="3" width="18.36328125" style="1" customWidth="1"/>
    <col min="4" max="4" width="21.36328125" style="1" customWidth="1"/>
    <col min="5" max="5" width="14.453125" style="4" customWidth="1"/>
    <col min="6" max="6" width="20.6328125" style="4" customWidth="1"/>
    <col min="7" max="7" width="22.6328125" style="4" customWidth="1"/>
    <col min="8" max="8" width="15.54296875" style="2" customWidth="1"/>
    <col min="9" max="9" width="66.6328125" style="8" customWidth="1"/>
    <col min="10" max="10" width="60.6328125" style="3" customWidth="1"/>
    <col min="11" max="16384" width="8.54296875" style="2"/>
  </cols>
  <sheetData>
    <row r="1" spans="1:10" s="17" customFormat="1" ht="31.25" customHeight="1" x14ac:dyDescent="0.5">
      <c r="A1" s="26" t="s">
        <v>532</v>
      </c>
      <c r="B1" s="14"/>
      <c r="C1" s="14"/>
      <c r="D1" s="14"/>
      <c r="E1" s="14"/>
      <c r="F1" s="14"/>
    </row>
    <row r="2" spans="1:10" s="12" customFormat="1" x14ac:dyDescent="0.35">
      <c r="A2" s="14" t="s">
        <v>246</v>
      </c>
      <c r="B2" s="14"/>
      <c r="C2" s="14"/>
      <c r="D2" s="14"/>
      <c r="E2" s="14"/>
      <c r="F2" s="17"/>
      <c r="G2" s="17"/>
      <c r="H2" s="17"/>
      <c r="I2" s="17"/>
      <c r="J2" s="17"/>
    </row>
    <row r="3" spans="1:10" s="20" customFormat="1" ht="18.5" x14ac:dyDescent="0.35">
      <c r="A3" s="16" t="s">
        <v>121</v>
      </c>
      <c r="B3" s="16" t="s">
        <v>122</v>
      </c>
      <c r="C3" s="16" t="s">
        <v>0</v>
      </c>
      <c r="D3" s="16" t="s">
        <v>123</v>
      </c>
      <c r="E3" s="16" t="s">
        <v>190</v>
      </c>
      <c r="F3" s="16" t="s">
        <v>124</v>
      </c>
      <c r="G3" s="16" t="s">
        <v>205</v>
      </c>
      <c r="H3" s="16" t="s">
        <v>125</v>
      </c>
      <c r="I3" s="16" t="s">
        <v>112</v>
      </c>
      <c r="J3" s="16" t="s">
        <v>1</v>
      </c>
    </row>
    <row r="4" spans="1:10" s="5" customFormat="1" ht="406" x14ac:dyDescent="0.35">
      <c r="A4" s="74" t="str">
        <f>HYPERLINK("https://grants.gov/search-results-detail/352892","FOAAFRLAFOSR20240004")</f>
        <v>FOAAFRLAFOSR20240004</v>
      </c>
      <c r="B4" s="13" t="s">
        <v>434</v>
      </c>
      <c r="C4" s="13" t="s">
        <v>4</v>
      </c>
      <c r="D4" s="13" t="s">
        <v>5</v>
      </c>
      <c r="E4" s="31">
        <v>45464</v>
      </c>
      <c r="F4" s="30">
        <v>450000</v>
      </c>
      <c r="G4" s="30">
        <v>1</v>
      </c>
      <c r="H4" s="13">
        <v>37</v>
      </c>
      <c r="I4" s="13" t="s">
        <v>435</v>
      </c>
      <c r="J4" s="13" t="s">
        <v>436</v>
      </c>
    </row>
    <row r="5" spans="1:10" s="12" customFormat="1" ht="409.5" x14ac:dyDescent="0.35">
      <c r="A5" s="13" t="str">
        <f>HYPERLINK("https://grants.gov/search-results-detail/350952","DE-FOA-0003164")</f>
        <v>DE-FOA-0003164</v>
      </c>
      <c r="B5" s="13" t="s">
        <v>326</v>
      </c>
      <c r="C5" s="13" t="s">
        <v>271</v>
      </c>
      <c r="D5" s="13" t="s">
        <v>272</v>
      </c>
      <c r="E5" s="31">
        <v>47391</v>
      </c>
      <c r="F5" s="30">
        <v>500000</v>
      </c>
      <c r="G5" s="30">
        <v>0</v>
      </c>
      <c r="H5" s="13"/>
      <c r="I5" s="13" t="s">
        <v>327</v>
      </c>
      <c r="J5" s="13" t="s">
        <v>328</v>
      </c>
    </row>
    <row r="6" spans="1:10" s="12" customFormat="1" ht="409.5" x14ac:dyDescent="0.35">
      <c r="A6" s="13" t="str">
        <f>HYPERLINK("https://grants.gov/search-results-detail/352722","DE-FOA-0003242")</f>
        <v>DE-FOA-0003242</v>
      </c>
      <c r="B6" s="13" t="s">
        <v>437</v>
      </c>
      <c r="C6" s="13" t="s">
        <v>438</v>
      </c>
      <c r="D6" s="13" t="s">
        <v>439</v>
      </c>
      <c r="E6" s="31">
        <v>45463</v>
      </c>
      <c r="F6" s="30">
        <v>300000</v>
      </c>
      <c r="G6" s="30">
        <v>50000</v>
      </c>
      <c r="H6" s="13">
        <v>30</v>
      </c>
      <c r="I6" s="13" t="s">
        <v>440</v>
      </c>
      <c r="J6" s="13" t="s">
        <v>441</v>
      </c>
    </row>
    <row r="7" spans="1:10" s="12" customFormat="1" ht="409.5" x14ac:dyDescent="0.35">
      <c r="A7" s="75" t="str">
        <f>HYPERLINK("https://www.grants.gov/view-opportunity.html?oppId=328270","20-586")</f>
        <v>20-586</v>
      </c>
      <c r="B7" s="73" t="s">
        <v>20</v>
      </c>
      <c r="C7" s="73" t="s">
        <v>10</v>
      </c>
      <c r="D7" s="73" t="s">
        <v>11</v>
      </c>
      <c r="E7" s="75"/>
      <c r="F7" s="75">
        <v>300000</v>
      </c>
      <c r="G7" s="75" t="s">
        <v>21</v>
      </c>
      <c r="H7" s="75">
        <v>4</v>
      </c>
      <c r="I7" s="73"/>
      <c r="J7" s="73" t="s">
        <v>22</v>
      </c>
    </row>
    <row r="8" spans="1:10" s="13" customFormat="1" ht="116" x14ac:dyDescent="0.35">
      <c r="A8" s="75" t="str">
        <f>HYPERLINK("https://www.grants.gov/view-opportunity.html?oppId=336220","22-515")</f>
        <v>22-515</v>
      </c>
      <c r="B8" s="73" t="s">
        <v>24</v>
      </c>
      <c r="C8" s="73" t="s">
        <v>10</v>
      </c>
      <c r="D8" s="73" t="s">
        <v>11</v>
      </c>
      <c r="E8" s="75"/>
      <c r="F8" s="75">
        <v>500000</v>
      </c>
      <c r="G8" s="75" t="s">
        <v>25</v>
      </c>
      <c r="H8" s="75">
        <v>50</v>
      </c>
      <c r="I8" s="73"/>
      <c r="J8" s="73" t="s">
        <v>26</v>
      </c>
    </row>
    <row r="9" spans="1:10" s="13" customFormat="1" ht="409.5" x14ac:dyDescent="0.35">
      <c r="A9" s="12" t="str">
        <f>HYPERLINK("https://www.grants.gov/view-opportunity.html?oppId=343875","22-639")</f>
        <v>22-639</v>
      </c>
      <c r="B9" s="13" t="s">
        <v>15</v>
      </c>
      <c r="C9" s="13" t="s">
        <v>10</v>
      </c>
      <c r="D9" s="13" t="s">
        <v>11</v>
      </c>
      <c r="E9" s="12"/>
      <c r="F9" s="12" t="s">
        <v>17</v>
      </c>
      <c r="G9" s="12" t="s">
        <v>117</v>
      </c>
      <c r="H9" s="12"/>
      <c r="I9" s="13" t="s">
        <v>118</v>
      </c>
      <c r="J9" s="13" t="s">
        <v>119</v>
      </c>
    </row>
    <row r="10" spans="1:10" s="13" customFormat="1" ht="377" x14ac:dyDescent="0.35">
      <c r="A10" s="12" t="str">
        <f>HYPERLINK("https://www.grants.gov/view-opportunity.html?oppId=344859","23-529")</f>
        <v>23-529</v>
      </c>
      <c r="B10" s="13" t="s">
        <v>23</v>
      </c>
      <c r="C10" s="12" t="s">
        <v>10</v>
      </c>
      <c r="D10" s="13" t="s">
        <v>11</v>
      </c>
      <c r="E10" s="12"/>
      <c r="F10" s="12" t="s">
        <v>17</v>
      </c>
      <c r="G10" s="12" t="s">
        <v>108</v>
      </c>
      <c r="H10" s="12">
        <v>20</v>
      </c>
      <c r="I10" s="13" t="s">
        <v>140</v>
      </c>
      <c r="J10" s="13" t="s">
        <v>157</v>
      </c>
    </row>
    <row r="11" spans="1:10" s="13" customFormat="1" ht="409.5" x14ac:dyDescent="0.35">
      <c r="A11" s="5" t="str">
        <f>HYPERLINK("https://grants.gov/search-results-detail/353215","USDA-NRCS-MO-CIG-24-NOFO0001370")</f>
        <v>USDA-NRCS-MO-CIG-24-NOFO0001370</v>
      </c>
      <c r="B11" s="5" t="s">
        <v>539</v>
      </c>
      <c r="C11" s="5" t="s">
        <v>540</v>
      </c>
      <c r="D11" s="5" t="s">
        <v>541</v>
      </c>
      <c r="E11" s="66">
        <v>45439</v>
      </c>
      <c r="F11" s="43">
        <v>250000</v>
      </c>
      <c r="G11" s="43">
        <v>50000</v>
      </c>
      <c r="H11" s="5">
        <v>3</v>
      </c>
      <c r="I11" s="5" t="s">
        <v>385</v>
      </c>
      <c r="J11" s="5" t="s">
        <v>542</v>
      </c>
    </row>
    <row r="12" spans="1:10" s="12" customFormat="1" x14ac:dyDescent="0.35">
      <c r="B12" s="19"/>
      <c r="C12" s="19"/>
      <c r="D12" s="19"/>
      <c r="E12" s="18"/>
      <c r="F12" s="18"/>
      <c r="G12" s="18"/>
      <c r="I12" s="27"/>
      <c r="J12" s="13"/>
    </row>
    <row r="13" spans="1:10" s="12" customFormat="1" x14ac:dyDescent="0.35">
      <c r="B13" s="19"/>
      <c r="C13" s="19"/>
      <c r="D13" s="19"/>
      <c r="E13" s="18"/>
      <c r="F13" s="18"/>
      <c r="G13" s="18"/>
      <c r="I13" s="27"/>
      <c r="J13" s="13"/>
    </row>
    <row r="14" spans="1:10" s="12" customFormat="1" x14ac:dyDescent="0.35">
      <c r="B14" s="19"/>
      <c r="C14" s="19"/>
      <c r="D14" s="19"/>
      <c r="E14" s="18"/>
      <c r="F14" s="18"/>
      <c r="G14" s="18"/>
      <c r="I14" s="27"/>
      <c r="J14" s="13"/>
    </row>
    <row r="15" spans="1:10" s="12" customFormat="1" x14ac:dyDescent="0.35">
      <c r="B15" s="19"/>
      <c r="C15" s="19"/>
      <c r="D15" s="19"/>
      <c r="E15" s="18"/>
      <c r="F15" s="18"/>
      <c r="G15" s="18"/>
      <c r="I15" s="27"/>
      <c r="J15" s="13"/>
    </row>
    <row r="16" spans="1:10" s="12" customFormat="1" x14ac:dyDescent="0.35">
      <c r="B16" s="19"/>
      <c r="C16" s="19"/>
      <c r="D16" s="19"/>
      <c r="E16" s="18"/>
      <c r="F16" s="18"/>
      <c r="G16" s="18"/>
      <c r="I16" s="27"/>
      <c r="J16" s="13"/>
    </row>
    <row r="17" spans="2:10" s="12" customFormat="1" x14ac:dyDescent="0.35">
      <c r="B17" s="19"/>
      <c r="C17" s="19"/>
      <c r="D17" s="19"/>
      <c r="E17" s="18"/>
      <c r="F17" s="18"/>
      <c r="G17" s="18"/>
      <c r="I17" s="27"/>
      <c r="J17" s="13"/>
    </row>
    <row r="18" spans="2:10" s="12" customFormat="1" x14ac:dyDescent="0.35">
      <c r="B18" s="19"/>
      <c r="C18" s="19"/>
      <c r="D18" s="19"/>
      <c r="E18" s="18"/>
      <c r="F18" s="18"/>
      <c r="G18" s="18"/>
      <c r="I18" s="27"/>
      <c r="J18" s="13"/>
    </row>
    <row r="19" spans="2:10" s="12" customFormat="1" x14ac:dyDescent="0.35">
      <c r="B19" s="19"/>
      <c r="C19" s="19"/>
      <c r="D19" s="19"/>
      <c r="E19" s="18"/>
      <c r="F19" s="18"/>
      <c r="G19" s="18"/>
      <c r="I19" s="27"/>
      <c r="J19" s="13"/>
    </row>
    <row r="20" spans="2:10" s="12" customFormat="1" x14ac:dyDescent="0.35">
      <c r="B20" s="19"/>
      <c r="C20" s="19"/>
      <c r="D20" s="19"/>
      <c r="E20" s="18"/>
      <c r="F20" s="18"/>
      <c r="G20" s="18"/>
      <c r="I20" s="27"/>
      <c r="J20" s="13"/>
    </row>
    <row r="21" spans="2:10" s="12" customFormat="1" x14ac:dyDescent="0.35">
      <c r="B21" s="19"/>
      <c r="C21" s="19"/>
      <c r="D21" s="19"/>
      <c r="E21" s="18"/>
      <c r="F21" s="18"/>
      <c r="G21" s="18"/>
      <c r="I21" s="27"/>
      <c r="J21" s="13"/>
    </row>
    <row r="22" spans="2:10" s="12" customFormat="1" x14ac:dyDescent="0.35">
      <c r="B22" s="19"/>
      <c r="C22" s="19"/>
      <c r="D22" s="19"/>
      <c r="E22" s="18"/>
      <c r="F22" s="18"/>
      <c r="G22" s="18"/>
      <c r="I22" s="27"/>
      <c r="J22" s="13"/>
    </row>
    <row r="23" spans="2:10" s="12" customFormat="1" x14ac:dyDescent="0.35">
      <c r="B23" s="19"/>
      <c r="C23" s="19"/>
      <c r="D23" s="19"/>
      <c r="E23" s="18"/>
      <c r="F23" s="18"/>
      <c r="G23" s="18"/>
      <c r="I23" s="27"/>
      <c r="J23" s="13"/>
    </row>
    <row r="24" spans="2:10" s="12" customFormat="1" x14ac:dyDescent="0.35">
      <c r="B24" s="19"/>
      <c r="C24" s="19"/>
      <c r="D24" s="19"/>
      <c r="E24" s="18"/>
      <c r="F24" s="18"/>
      <c r="G24" s="18"/>
      <c r="I24" s="27"/>
      <c r="J24" s="13"/>
    </row>
    <row r="25" spans="2:10" s="12" customFormat="1" x14ac:dyDescent="0.35">
      <c r="B25" s="19"/>
      <c r="C25" s="19"/>
      <c r="D25" s="19"/>
      <c r="E25" s="18"/>
      <c r="F25" s="18"/>
      <c r="G25" s="18"/>
      <c r="I25" s="27"/>
      <c r="J25" s="13"/>
    </row>
    <row r="26" spans="2:10" s="12" customFormat="1" x14ac:dyDescent="0.35">
      <c r="B26" s="19"/>
      <c r="C26" s="19"/>
      <c r="D26" s="19"/>
      <c r="E26" s="18"/>
      <c r="F26" s="18"/>
      <c r="G26" s="18"/>
      <c r="I26" s="27"/>
      <c r="J26" s="13"/>
    </row>
    <row r="27" spans="2:10" s="12" customFormat="1" x14ac:dyDescent="0.35">
      <c r="B27" s="19"/>
      <c r="C27" s="19"/>
      <c r="D27" s="19"/>
      <c r="E27" s="18"/>
      <c r="F27" s="18"/>
      <c r="G27" s="18"/>
      <c r="I27" s="27"/>
      <c r="J27" s="13"/>
    </row>
    <row r="28" spans="2:10" s="12" customFormat="1" x14ac:dyDescent="0.35">
      <c r="B28" s="19"/>
      <c r="C28" s="19"/>
      <c r="D28" s="19"/>
      <c r="E28" s="18"/>
      <c r="F28" s="18"/>
      <c r="G28" s="18"/>
      <c r="I28" s="27"/>
      <c r="J28" s="13"/>
    </row>
    <row r="29" spans="2:10" s="12" customFormat="1" x14ac:dyDescent="0.35">
      <c r="B29" s="19"/>
      <c r="C29" s="19"/>
      <c r="D29" s="19"/>
      <c r="E29" s="18"/>
      <c r="F29" s="18"/>
      <c r="G29" s="18"/>
      <c r="I29" s="27"/>
      <c r="J29" s="13"/>
    </row>
    <row r="30" spans="2:10" s="12" customFormat="1" x14ac:dyDescent="0.35">
      <c r="B30" s="19"/>
      <c r="C30" s="19"/>
      <c r="D30" s="19"/>
      <c r="E30" s="18"/>
      <c r="F30" s="18"/>
      <c r="G30" s="18"/>
      <c r="I30" s="27"/>
      <c r="J30" s="13"/>
    </row>
    <row r="31" spans="2:10" s="12" customFormat="1" x14ac:dyDescent="0.35">
      <c r="B31" s="19"/>
      <c r="C31" s="19"/>
      <c r="D31" s="19"/>
      <c r="E31" s="18"/>
      <c r="F31" s="18"/>
      <c r="G31" s="18"/>
      <c r="I31" s="27"/>
      <c r="J31" s="13"/>
    </row>
    <row r="32" spans="2:10" s="12" customFormat="1" x14ac:dyDescent="0.35">
      <c r="B32" s="19"/>
      <c r="C32" s="19"/>
      <c r="D32" s="19"/>
      <c r="E32" s="18"/>
      <c r="F32" s="18"/>
      <c r="G32" s="18"/>
      <c r="I32" s="27"/>
      <c r="J32" s="13"/>
    </row>
    <row r="33" spans="2:10" s="12" customFormat="1" x14ac:dyDescent="0.35">
      <c r="B33" s="19"/>
      <c r="C33" s="19"/>
      <c r="D33" s="19"/>
      <c r="E33" s="18"/>
      <c r="F33" s="18"/>
      <c r="G33" s="18"/>
      <c r="I33" s="27"/>
      <c r="J33" s="13"/>
    </row>
    <row r="40" spans="2:10" x14ac:dyDescent="0.35">
      <c r="I40" s="11"/>
    </row>
    <row r="41" spans="2:10" s="6" customFormat="1" x14ac:dyDescent="0.35">
      <c r="B41" s="9"/>
      <c r="C41" s="9"/>
      <c r="D41" s="9"/>
      <c r="E41" s="10"/>
      <c r="F41" s="10"/>
      <c r="G41" s="10"/>
      <c r="I41" s="8"/>
      <c r="J41" s="7"/>
    </row>
  </sheetData>
  <sortState xmlns:xlrd2="http://schemas.microsoft.com/office/spreadsheetml/2017/richdata2" ref="A4:J12">
    <sortCondition ref="C4:C12"/>
    <sortCondition ref="E4:E12"/>
  </sortState>
  <conditionalFormatting sqref="A1">
    <cfRule type="duplicateValues" dxfId="9" priority="5"/>
  </conditionalFormatting>
  <conditionalFormatting sqref="A2:A4">
    <cfRule type="duplicateValues" dxfId="8" priority="4"/>
  </conditionalFormatting>
  <conditionalFormatting sqref="A8:A11">
    <cfRule type="duplicateValues" dxfId="7" priority="1"/>
  </conditionalFormatting>
  <conditionalFormatting sqref="A12:A1048576 A5:A7">
    <cfRule type="duplicateValues" dxfId="6" priority="42"/>
  </conditionalFormatting>
  <pageMargins left="0.7" right="0.7" top="0.75" bottom="0.75" header="0.511811023622047" footer="0.511811023622047"/>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73"/>
  <sheetViews>
    <sheetView zoomScaleNormal="100" workbookViewId="0">
      <selection activeCell="G67" sqref="G67"/>
    </sheetView>
  </sheetViews>
  <sheetFormatPr defaultColWidth="8.54296875" defaultRowHeight="14.5" x14ac:dyDescent="0.35"/>
  <cols>
    <col min="1" max="1" width="25.6328125" style="22" customWidth="1"/>
    <col min="2" max="2" width="23.6328125" style="21" customWidth="1"/>
    <col min="3" max="3" width="18.36328125" style="21" customWidth="1"/>
    <col min="4" max="4" width="21.36328125" style="21" customWidth="1"/>
    <col min="5" max="5" width="14.453125" style="25" customWidth="1"/>
    <col min="6" max="6" width="20.6328125" style="25" customWidth="1"/>
    <col min="7" max="7" width="22.6328125" style="25" customWidth="1"/>
    <col min="8" max="8" width="15.54296875" style="22" customWidth="1"/>
    <col min="9" max="9" width="66.6328125" style="23" customWidth="1"/>
    <col min="10" max="10" width="60.6328125" style="23" customWidth="1"/>
    <col min="11" max="16384" width="8.54296875" style="22"/>
  </cols>
  <sheetData>
    <row r="1" spans="1:129" s="17" customFormat="1" ht="31.25" customHeight="1" x14ac:dyDescent="0.5">
      <c r="A1" s="26" t="s">
        <v>532</v>
      </c>
      <c r="B1" s="14"/>
      <c r="C1" s="14"/>
      <c r="D1" s="14"/>
      <c r="E1" s="14"/>
      <c r="F1" s="14"/>
    </row>
    <row r="2" spans="1:129" s="12" customFormat="1" x14ac:dyDescent="0.35">
      <c r="A2" s="14" t="s">
        <v>246</v>
      </c>
      <c r="B2" s="14"/>
      <c r="C2" s="14"/>
      <c r="D2" s="14"/>
      <c r="E2" s="14"/>
      <c r="F2" s="17"/>
      <c r="G2" s="17"/>
      <c r="H2" s="17"/>
      <c r="I2" s="17"/>
      <c r="J2" s="17"/>
    </row>
    <row r="3" spans="1:129" s="20" customFormat="1" ht="18.5" x14ac:dyDescent="0.35">
      <c r="A3" s="16" t="s">
        <v>121</v>
      </c>
      <c r="B3" s="16" t="s">
        <v>122</v>
      </c>
      <c r="C3" s="16" t="s">
        <v>0</v>
      </c>
      <c r="D3" s="16" t="s">
        <v>123</v>
      </c>
      <c r="E3" s="16" t="s">
        <v>190</v>
      </c>
      <c r="F3" s="16" t="s">
        <v>124</v>
      </c>
      <c r="G3" s="16" t="s">
        <v>205</v>
      </c>
      <c r="H3" s="16" t="s">
        <v>125</v>
      </c>
      <c r="I3" s="16" t="s">
        <v>112</v>
      </c>
      <c r="J3" s="16" t="s">
        <v>1</v>
      </c>
    </row>
    <row r="4" spans="1:129" s="5" customFormat="1" ht="409.5" x14ac:dyDescent="0.35">
      <c r="A4" s="5" t="str">
        <f>HYPERLINK("https://grants.gov/search-results-detail/353201","NOAA-NOS-RESTORE-2025-26020")</f>
        <v>NOAA-NOS-RESTORE-2025-26020</v>
      </c>
      <c r="B4" s="5" t="s">
        <v>543</v>
      </c>
      <c r="C4" s="5" t="s">
        <v>544</v>
      </c>
      <c r="D4" s="5" t="s">
        <v>545</v>
      </c>
      <c r="E4" s="66">
        <v>45526</v>
      </c>
      <c r="F4" s="43">
        <v>4000000</v>
      </c>
      <c r="G4" s="43">
        <v>1000000</v>
      </c>
      <c r="H4" s="5">
        <v>6</v>
      </c>
      <c r="I4" s="5" t="s">
        <v>546</v>
      </c>
      <c r="J4" s="5" t="s">
        <v>547</v>
      </c>
    </row>
    <row r="5" spans="1:129" s="5" customFormat="1" ht="217.5" x14ac:dyDescent="0.35">
      <c r="A5" s="13" t="str">
        <f>HYPERLINK("https://grants.gov/search-results-detail/352853","FOAAFRLAFOSR20240005")</f>
        <v>FOAAFRLAFOSR20240005</v>
      </c>
      <c r="B5" s="13" t="s">
        <v>443</v>
      </c>
      <c r="C5" s="13" t="s">
        <v>4</v>
      </c>
      <c r="D5" s="13" t="s">
        <v>5</v>
      </c>
      <c r="E5" s="31">
        <v>45453</v>
      </c>
      <c r="F5" s="30">
        <v>6000000</v>
      </c>
      <c r="G5" s="30">
        <v>1200000</v>
      </c>
      <c r="H5" s="13"/>
      <c r="I5" s="13" t="s">
        <v>444</v>
      </c>
      <c r="J5" s="13" t="s">
        <v>445</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row>
    <row r="6" spans="1:129" s="5" customFormat="1" ht="377" x14ac:dyDescent="0.35">
      <c r="A6" s="13" t="str">
        <f>HYPERLINK("https://grants.gov/search-results-detail/352609","FOAAFRLAFOSR20240003")</f>
        <v>FOAAFRLAFOSR20240003</v>
      </c>
      <c r="B6" s="13" t="s">
        <v>446</v>
      </c>
      <c r="C6" s="13" t="s">
        <v>4</v>
      </c>
      <c r="D6" s="13" t="s">
        <v>5</v>
      </c>
      <c r="E6" s="31">
        <v>45541</v>
      </c>
      <c r="F6" s="30">
        <v>15000000</v>
      </c>
      <c r="G6" s="30">
        <v>0</v>
      </c>
      <c r="H6" s="13"/>
      <c r="I6" s="13" t="s">
        <v>447</v>
      </c>
      <c r="J6" s="13" t="s">
        <v>448</v>
      </c>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row>
    <row r="7" spans="1:129" s="5" customFormat="1" ht="406" x14ac:dyDescent="0.35">
      <c r="A7" s="5" t="str">
        <f>HYPERLINK("https://grants.gov/search-results-detail/353276","FOAAFRLAFOSR20240007")</f>
        <v>FOAAFRLAFOSR20240007</v>
      </c>
      <c r="B7" s="5" t="s">
        <v>548</v>
      </c>
      <c r="C7" s="5" t="s">
        <v>4</v>
      </c>
      <c r="D7" s="5" t="s">
        <v>5</v>
      </c>
      <c r="E7" s="66">
        <v>45621</v>
      </c>
      <c r="F7" s="43">
        <v>600000</v>
      </c>
      <c r="G7" s="43">
        <v>200000</v>
      </c>
      <c r="H7" s="5">
        <v>25</v>
      </c>
      <c r="I7" s="5" t="s">
        <v>549</v>
      </c>
      <c r="J7" s="5" t="s">
        <v>550</v>
      </c>
    </row>
    <row r="8" spans="1:129" s="5" customFormat="1" ht="377" x14ac:dyDescent="0.35">
      <c r="A8" s="5" t="str">
        <f>HYPERLINK("https://grants.gov/search-results-detail/353275","FOAAFRLAFOSR20240006")</f>
        <v>FOAAFRLAFOSR20240006</v>
      </c>
      <c r="B8" s="5" t="s">
        <v>551</v>
      </c>
      <c r="C8" s="5" t="s">
        <v>4</v>
      </c>
      <c r="D8" s="5" t="s">
        <v>5</v>
      </c>
      <c r="E8" s="66">
        <v>45621</v>
      </c>
      <c r="F8" s="43">
        <v>1500000</v>
      </c>
      <c r="G8" s="43">
        <v>750000</v>
      </c>
      <c r="H8" s="5">
        <v>4</v>
      </c>
      <c r="I8" s="5" t="s">
        <v>552</v>
      </c>
      <c r="J8" s="5" t="s">
        <v>553</v>
      </c>
    </row>
    <row r="9" spans="1:129" s="5" customFormat="1" ht="72.5" x14ac:dyDescent="0.35">
      <c r="A9" s="13" t="str">
        <f>HYPERLINK("https://grants.gov/search-results-detail/351240","FA875021S7006")</f>
        <v>FA875021S7006</v>
      </c>
      <c r="B9" s="13" t="s">
        <v>329</v>
      </c>
      <c r="C9" s="13" t="s">
        <v>248</v>
      </c>
      <c r="D9" s="13" t="s">
        <v>249</v>
      </c>
      <c r="E9" s="13" t="s">
        <v>330</v>
      </c>
      <c r="F9" s="30">
        <v>99900000</v>
      </c>
      <c r="G9" s="30">
        <v>0</v>
      </c>
      <c r="H9" s="13"/>
      <c r="I9" s="13" t="s">
        <v>331</v>
      </c>
      <c r="J9" s="13" t="s">
        <v>332</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row>
    <row r="10" spans="1:129" s="5" customFormat="1" ht="409.5" x14ac:dyDescent="0.35">
      <c r="A10" s="69" t="str">
        <f>HYPERLINK("https://www.grants.gov/view-opportunity.html?oppId=327212","FOA20AFRLRVKE0001")</f>
        <v>FOA20AFRLRVKE0001</v>
      </c>
      <c r="B10" s="69" t="s">
        <v>27</v>
      </c>
      <c r="C10" s="69" t="s">
        <v>28</v>
      </c>
      <c r="D10" s="69" t="s">
        <v>29</v>
      </c>
      <c r="E10" s="76">
        <v>45825</v>
      </c>
      <c r="F10" s="77">
        <v>25000000</v>
      </c>
      <c r="G10" s="77">
        <v>25000</v>
      </c>
      <c r="H10" s="72"/>
      <c r="I10" s="73"/>
      <c r="J10" s="69" t="s">
        <v>30</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row>
    <row r="11" spans="1:129" s="5" customFormat="1" ht="43.5" x14ac:dyDescent="0.35">
      <c r="A11" s="69" t="str">
        <f>HYPERLINK("https://www.grants.gov/view-opportunity.html?oppId=322104","FA8651-20-S-0008")</f>
        <v>FA8651-20-S-0008</v>
      </c>
      <c r="B11" s="69" t="s">
        <v>31</v>
      </c>
      <c r="C11" s="69" t="s">
        <v>32</v>
      </c>
      <c r="D11" s="69" t="s">
        <v>33</v>
      </c>
      <c r="E11" s="76">
        <v>45596</v>
      </c>
      <c r="F11" s="77" t="s">
        <v>34</v>
      </c>
      <c r="G11" s="72" t="s">
        <v>35</v>
      </c>
      <c r="H11" s="72"/>
      <c r="I11" s="73"/>
      <c r="J11" s="69" t="s">
        <v>36</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row>
    <row r="12" spans="1:129" s="5" customFormat="1" ht="409.5" x14ac:dyDescent="0.35">
      <c r="A12" s="13" t="str">
        <f>HYPERLINK("https://grants.gov/search-results-detail/352613","W911NF24S0006")</f>
        <v>W911NF24S0006</v>
      </c>
      <c r="B12" s="13" t="s">
        <v>449</v>
      </c>
      <c r="C12" s="13" t="s">
        <v>37</v>
      </c>
      <c r="D12" s="13" t="s">
        <v>38</v>
      </c>
      <c r="E12" s="31">
        <v>45541</v>
      </c>
      <c r="F12" s="30">
        <v>7500000</v>
      </c>
      <c r="G12" s="30" t="s">
        <v>379</v>
      </c>
      <c r="H12" s="13">
        <v>25</v>
      </c>
      <c r="I12" s="13" t="s">
        <v>447</v>
      </c>
      <c r="J12" s="13" t="s">
        <v>450</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row>
    <row r="13" spans="1:129" s="5" customFormat="1" ht="87" x14ac:dyDescent="0.35">
      <c r="A13" s="13" t="str">
        <f>HYPERLINK("https://www.grants.gov/view-opportunity.html?oppId=349586","HT9425-23-S-SOC1")</f>
        <v>HT9425-23-S-SOC1</v>
      </c>
      <c r="B13" s="13" t="s">
        <v>257</v>
      </c>
      <c r="C13" s="13" t="s">
        <v>135</v>
      </c>
      <c r="D13" s="13" t="s">
        <v>134</v>
      </c>
      <c r="E13" s="13" t="s">
        <v>258</v>
      </c>
      <c r="F13" s="13" t="s">
        <v>169</v>
      </c>
      <c r="G13" s="13" t="s">
        <v>105</v>
      </c>
      <c r="H13" s="13"/>
      <c r="I13" s="13" t="s">
        <v>127</v>
      </c>
      <c r="J13" s="13" t="s">
        <v>259</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row>
    <row r="14" spans="1:129" s="5" customFormat="1" ht="362.5" x14ac:dyDescent="0.35">
      <c r="A14" s="13" t="str">
        <f>HYPERLINK("https://grants.gov/search-results-detail/352929","W912HZ23SC001")</f>
        <v>W912HZ23SC001</v>
      </c>
      <c r="B14" s="13" t="s">
        <v>451</v>
      </c>
      <c r="C14" s="13" t="s">
        <v>381</v>
      </c>
      <c r="D14" s="13" t="s">
        <v>380</v>
      </c>
      <c r="E14" s="31">
        <v>45434</v>
      </c>
      <c r="F14" s="30">
        <v>999999999</v>
      </c>
      <c r="G14" s="30">
        <v>0</v>
      </c>
      <c r="H14" s="13"/>
      <c r="I14" s="13" t="s">
        <v>385</v>
      </c>
      <c r="J14" s="13" t="s">
        <v>452</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row>
    <row r="15" spans="1:129" s="5" customFormat="1" ht="409.5" x14ac:dyDescent="0.35">
      <c r="A15" s="13" t="str">
        <f>HYPERLINK("https://grants.gov/search-results-detail/351674","W912HZ-24-BAA-01")</f>
        <v>W912HZ-24-BAA-01</v>
      </c>
      <c r="B15" s="13" t="s">
        <v>382</v>
      </c>
      <c r="C15" s="13" t="s">
        <v>381</v>
      </c>
      <c r="D15" s="13" t="s">
        <v>380</v>
      </c>
      <c r="E15" s="13" t="s">
        <v>383</v>
      </c>
      <c r="F15" s="78">
        <v>999999999</v>
      </c>
      <c r="G15" s="78">
        <v>0</v>
      </c>
      <c r="H15" s="13"/>
      <c r="I15" s="13" t="s">
        <v>384</v>
      </c>
      <c r="J15" s="13" t="s">
        <v>385</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row>
    <row r="16" spans="1:129" s="5" customFormat="1" ht="409.5" x14ac:dyDescent="0.35">
      <c r="A16" s="13" t="str">
        <f>HYPERLINK("https://grants.gov/search-results-detail/352583","N0001424SF002")</f>
        <v>N0001424SF002</v>
      </c>
      <c r="B16" s="13" t="s">
        <v>453</v>
      </c>
      <c r="C16" s="13" t="s">
        <v>454</v>
      </c>
      <c r="D16" s="13" t="s">
        <v>455</v>
      </c>
      <c r="E16" s="31">
        <v>45541</v>
      </c>
      <c r="F16" s="30">
        <v>7500000</v>
      </c>
      <c r="G16" s="30" t="s">
        <v>379</v>
      </c>
      <c r="H16" s="13">
        <v>25</v>
      </c>
      <c r="I16" s="13" t="s">
        <v>442</v>
      </c>
      <c r="J16" s="13" t="s">
        <v>456</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row>
    <row r="17" spans="1:129" s="5" customFormat="1" ht="116" x14ac:dyDescent="0.35">
      <c r="A17" s="13" t="str">
        <f>HYPERLINK("https://grants.gov/search-results-detail/352529","N0001424SBC06")</f>
        <v>N0001424SBC06</v>
      </c>
      <c r="B17" s="13" t="s">
        <v>457</v>
      </c>
      <c r="C17" s="13" t="s">
        <v>454</v>
      </c>
      <c r="D17" s="13" t="s">
        <v>455</v>
      </c>
      <c r="E17" s="13"/>
      <c r="F17" s="30">
        <v>1000000</v>
      </c>
      <c r="G17" s="30">
        <v>0</v>
      </c>
      <c r="H17" s="13"/>
      <c r="I17" s="13" t="s">
        <v>458</v>
      </c>
      <c r="J17" s="13" t="s">
        <v>459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29" s="5" customFormat="1" ht="261" x14ac:dyDescent="0.35">
      <c r="A18" s="13" t="str">
        <f>HYPERLINK("https://www.grants.gov/view-opportunity.html?oppId=349804","HQ003423NFOEASD17")</f>
        <v>HQ003423NFOEASD17</v>
      </c>
      <c r="B18" s="13" t="s">
        <v>267</v>
      </c>
      <c r="C18" s="13" t="s">
        <v>260</v>
      </c>
      <c r="D18" s="13" t="s">
        <v>261</v>
      </c>
      <c r="E18" s="13" t="s">
        <v>268</v>
      </c>
      <c r="F18" s="13" t="s">
        <v>191</v>
      </c>
      <c r="G18" s="13" t="s">
        <v>110</v>
      </c>
      <c r="H18" s="13"/>
      <c r="I18" s="13" t="s">
        <v>269</v>
      </c>
      <c r="J18" s="13" t="s">
        <v>270</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row>
    <row r="19" spans="1:129" s="5" customFormat="1" ht="409.5" x14ac:dyDescent="0.35">
      <c r="A19" s="13" t="str">
        <f>HYPERLINK("https://grants.gov/search-results-detail/351388","HQ003424NFOEASD02")</f>
        <v>HQ003424NFOEASD02</v>
      </c>
      <c r="B19" s="13" t="s">
        <v>333</v>
      </c>
      <c r="C19" s="13" t="s">
        <v>260</v>
      </c>
      <c r="D19" s="13" t="s">
        <v>261</v>
      </c>
      <c r="E19" s="13" t="s">
        <v>334</v>
      </c>
      <c r="F19" s="30">
        <v>25000000</v>
      </c>
      <c r="G19" s="30">
        <v>1000000</v>
      </c>
      <c r="H19" s="13">
        <v>15</v>
      </c>
      <c r="I19" s="13" t="s">
        <v>335</v>
      </c>
      <c r="J19" s="13" t="s">
        <v>336</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row>
    <row r="20" spans="1:129" s="5" customFormat="1" ht="409.5" x14ac:dyDescent="0.35">
      <c r="A20" s="13" t="str">
        <f>HYPERLINK("https://grants.gov/search-results-detail/351289","HQ003424NFOEASD01")</f>
        <v>HQ003424NFOEASD01</v>
      </c>
      <c r="B20" s="13" t="s">
        <v>337</v>
      </c>
      <c r="C20" s="13" t="s">
        <v>260</v>
      </c>
      <c r="D20" s="13" t="s">
        <v>261</v>
      </c>
      <c r="E20" s="13" t="s">
        <v>338</v>
      </c>
      <c r="F20" s="30">
        <v>4000000</v>
      </c>
      <c r="G20" s="30">
        <v>4000000</v>
      </c>
      <c r="H20" s="13">
        <v>1</v>
      </c>
      <c r="I20" s="13" t="s">
        <v>339</v>
      </c>
      <c r="J20" s="13" t="s">
        <v>340</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row>
    <row r="21" spans="1:129" s="5" customFormat="1" ht="246.5" x14ac:dyDescent="0.35">
      <c r="A21" s="13" t="str">
        <f>HYPERLINK("https://grants.gov/search-results-detail/352584","DE-FOA-0003178")</f>
        <v>DE-FOA-0003178</v>
      </c>
      <c r="B21" s="13" t="s">
        <v>460</v>
      </c>
      <c r="C21" s="13" t="s">
        <v>129</v>
      </c>
      <c r="D21" s="13" t="s">
        <v>128</v>
      </c>
      <c r="E21" s="31">
        <v>45436</v>
      </c>
      <c r="F21" s="30">
        <v>9400000</v>
      </c>
      <c r="G21" s="30">
        <v>1</v>
      </c>
      <c r="H21" s="13">
        <v>5</v>
      </c>
      <c r="I21" s="13" t="s">
        <v>461</v>
      </c>
      <c r="J21" s="13" t="s">
        <v>462</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row>
    <row r="22" spans="1:129" s="5" customFormat="1" ht="409.5" x14ac:dyDescent="0.35">
      <c r="A22" s="5" t="str">
        <f>HYPERLINK("https://grants.gov/search-results-detail/353053","DE-FOA-0003246")</f>
        <v>DE-FOA-0003246</v>
      </c>
      <c r="B22" s="5" t="s">
        <v>554</v>
      </c>
      <c r="C22" s="5" t="s">
        <v>129</v>
      </c>
      <c r="D22" s="5" t="s">
        <v>128</v>
      </c>
      <c r="E22" s="66">
        <v>45471</v>
      </c>
      <c r="F22" s="43">
        <v>2500000</v>
      </c>
      <c r="G22" s="43">
        <v>1000000</v>
      </c>
      <c r="H22" s="5">
        <v>10</v>
      </c>
      <c r="I22" s="5" t="s">
        <v>555</v>
      </c>
      <c r="J22" s="5" t="s">
        <v>556</v>
      </c>
    </row>
    <row r="23" spans="1:129" s="13" customFormat="1" ht="101.5" x14ac:dyDescent="0.35">
      <c r="A23" s="5" t="str">
        <f>HYPERLINK("https://grants.gov/search-results-detail/353400","DE-FOA-0003269")</f>
        <v>DE-FOA-0003269</v>
      </c>
      <c r="B23" s="5" t="s">
        <v>557</v>
      </c>
      <c r="C23" s="5" t="s">
        <v>129</v>
      </c>
      <c r="D23" s="5" t="s">
        <v>128</v>
      </c>
      <c r="E23" s="66">
        <v>45512</v>
      </c>
      <c r="F23" s="43">
        <v>10000000</v>
      </c>
      <c r="G23" s="43">
        <v>750000</v>
      </c>
      <c r="H23" s="5">
        <v>10</v>
      </c>
      <c r="I23" s="5" t="s">
        <v>385</v>
      </c>
      <c r="J23" s="5" t="s">
        <v>558</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row>
    <row r="24" spans="1:129" s="13" customFormat="1" ht="409.5" x14ac:dyDescent="0.35">
      <c r="A24" s="13" t="str">
        <f>HYPERLINK("https://grants.gov/search-results-detail/351340","DE-FOA-0003155")</f>
        <v>DE-FOA-0003155</v>
      </c>
      <c r="B24" s="13" t="s">
        <v>341</v>
      </c>
      <c r="C24" s="13" t="s">
        <v>129</v>
      </c>
      <c r="D24" s="13" t="s">
        <v>128</v>
      </c>
      <c r="E24" s="13" t="s">
        <v>342</v>
      </c>
      <c r="F24" s="30">
        <v>3000000</v>
      </c>
      <c r="G24" s="30">
        <v>500000</v>
      </c>
      <c r="H24" s="13">
        <v>15</v>
      </c>
      <c r="I24" s="13" t="s">
        <v>343</v>
      </c>
      <c r="J24" s="13" t="s">
        <v>344</v>
      </c>
    </row>
    <row r="25" spans="1:129" s="13" customFormat="1" ht="409.5" x14ac:dyDescent="0.35">
      <c r="A25" s="69" t="str">
        <f>HYPERLINK("https://www.grants.gov/view-opportunity.html?oppId=329436","DE-FOA-0002265")</f>
        <v>DE-FOA-0002265</v>
      </c>
      <c r="B25" s="69" t="s">
        <v>109</v>
      </c>
      <c r="C25" s="69" t="s">
        <v>39</v>
      </c>
      <c r="D25" s="69" t="s">
        <v>40</v>
      </c>
      <c r="E25" s="76">
        <v>47770</v>
      </c>
      <c r="F25" s="77">
        <v>3000000</v>
      </c>
      <c r="G25" s="77">
        <v>3000000</v>
      </c>
      <c r="H25" s="72">
        <v>80</v>
      </c>
      <c r="I25" s="73"/>
      <c r="J25" s="69" t="s">
        <v>41</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row>
    <row r="26" spans="1:129" s="13" customFormat="1" ht="116" x14ac:dyDescent="0.35">
      <c r="A26" s="5" t="str">
        <f>HYPERLINK("https://grants.gov/search-results-detail/353401","DE-FOA-0003248")</f>
        <v>DE-FOA-0003248</v>
      </c>
      <c r="B26" s="5" t="s">
        <v>559</v>
      </c>
      <c r="C26" s="5" t="s">
        <v>114</v>
      </c>
      <c r="D26" s="5" t="s">
        <v>115</v>
      </c>
      <c r="E26" s="66">
        <v>45467</v>
      </c>
      <c r="F26" s="43">
        <v>10000000</v>
      </c>
      <c r="G26" s="43">
        <v>1</v>
      </c>
      <c r="H26" s="5">
        <v>29</v>
      </c>
      <c r="I26" s="5" t="s">
        <v>560</v>
      </c>
      <c r="J26" s="5" t="s">
        <v>561</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row>
    <row r="27" spans="1:129" s="13" customFormat="1" ht="130.5" x14ac:dyDescent="0.35">
      <c r="A27" s="13" t="str">
        <f>HYPERLINK("https://grants.gov/search-results-detail/350986","DE-FOA-0003099")</f>
        <v>DE-FOA-0003099</v>
      </c>
      <c r="B27" s="13" t="s">
        <v>345</v>
      </c>
      <c r="C27" s="13" t="s">
        <v>114</v>
      </c>
      <c r="D27" s="13" t="s">
        <v>115</v>
      </c>
      <c r="E27" s="13" t="s">
        <v>346</v>
      </c>
      <c r="F27" s="30">
        <v>300000000</v>
      </c>
      <c r="G27" s="30">
        <v>1</v>
      </c>
      <c r="H27" s="13">
        <v>41</v>
      </c>
      <c r="I27" s="13" t="s">
        <v>347</v>
      </c>
      <c r="J27" s="13" t="s">
        <v>348</v>
      </c>
    </row>
    <row r="28" spans="1:129" s="13" customFormat="1" ht="409.5" x14ac:dyDescent="0.35">
      <c r="A28" s="13" t="str">
        <f>HYPERLINK("https://grants.gov/search-results-detail/352818","R24AS00206")</f>
        <v>R24AS00206</v>
      </c>
      <c r="B28" s="13" t="s">
        <v>463</v>
      </c>
      <c r="C28" s="13" t="s">
        <v>464</v>
      </c>
      <c r="D28" s="13" t="s">
        <v>465</v>
      </c>
      <c r="E28" s="31">
        <v>45418</v>
      </c>
      <c r="F28" s="30">
        <v>999999</v>
      </c>
      <c r="G28" s="30">
        <v>300000</v>
      </c>
      <c r="I28" s="13" t="s">
        <v>466</v>
      </c>
      <c r="J28" s="13" t="s">
        <v>467</v>
      </c>
    </row>
    <row r="29" spans="1:129" s="13" customFormat="1" ht="130.5" x14ac:dyDescent="0.35">
      <c r="A29" s="13" t="str">
        <f>HYPERLINK("https://grants.gov/search-results-detail/350244","G24AS00481")</f>
        <v>G24AS00481</v>
      </c>
      <c r="B29" s="13" t="s">
        <v>349</v>
      </c>
      <c r="C29" s="13" t="s">
        <v>292</v>
      </c>
      <c r="D29" s="13" t="s">
        <v>293</v>
      </c>
      <c r="E29" s="13" t="s">
        <v>350</v>
      </c>
      <c r="F29" s="30">
        <v>5000000</v>
      </c>
      <c r="G29" s="30">
        <v>0</v>
      </c>
      <c r="I29" s="13" t="s">
        <v>351</v>
      </c>
      <c r="J29" s="13" t="s">
        <v>352</v>
      </c>
    </row>
    <row r="30" spans="1:129" s="13" customFormat="1" ht="72.5" x14ac:dyDescent="0.35">
      <c r="A30" s="12" t="str">
        <f>HYPERLINK("https://www.grants.gov/view-opportunity.html?oppId=348153","TEGL-ETA-17-22-AC")</f>
        <v>TEGL-ETA-17-22-AC</v>
      </c>
      <c r="B30" s="13" t="s">
        <v>206</v>
      </c>
      <c r="C30" s="12" t="s">
        <v>167</v>
      </c>
      <c r="D30" s="13" t="s">
        <v>168</v>
      </c>
      <c r="E30" s="12" t="s">
        <v>207</v>
      </c>
      <c r="F30" s="12" t="s">
        <v>208</v>
      </c>
      <c r="G30" s="12" t="s">
        <v>102</v>
      </c>
      <c r="H30" s="12">
        <v>59</v>
      </c>
      <c r="I30" s="13" t="s">
        <v>209</v>
      </c>
      <c r="J30" s="13" t="s">
        <v>210</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row>
    <row r="31" spans="1:129" s="13" customFormat="1" ht="391.5" x14ac:dyDescent="0.35">
      <c r="A31" s="13" t="str">
        <f>HYPERLINK("https://grants.gov/search-results-detail/351444","SFOP0010160")</f>
        <v>SFOP0010160</v>
      </c>
      <c r="B31" s="13" t="s">
        <v>353</v>
      </c>
      <c r="C31" s="13" t="s">
        <v>354</v>
      </c>
      <c r="D31" s="13" t="s">
        <v>355</v>
      </c>
      <c r="E31" s="13" t="s">
        <v>342</v>
      </c>
      <c r="F31" s="30">
        <v>1200000</v>
      </c>
      <c r="G31" s="30">
        <v>0</v>
      </c>
      <c r="H31" s="13">
        <v>1</v>
      </c>
      <c r="I31" s="13" t="s">
        <v>356</v>
      </c>
      <c r="J31" s="13" t="s">
        <v>357</v>
      </c>
    </row>
    <row r="32" spans="1:129" s="13" customFormat="1" ht="101.5" x14ac:dyDescent="0.35">
      <c r="A32" s="5" t="str">
        <f>HYPERLINK("https://grants.gov/search-results-detail/353294","DFOP0010791")</f>
        <v>DFOP0010791</v>
      </c>
      <c r="B32" s="5" t="s">
        <v>562</v>
      </c>
      <c r="C32" s="5" t="s">
        <v>563</v>
      </c>
      <c r="D32" s="5" t="s">
        <v>564</v>
      </c>
      <c r="E32" s="66">
        <v>45441</v>
      </c>
      <c r="F32" s="43">
        <v>1250000</v>
      </c>
      <c r="G32" s="43">
        <v>1250000</v>
      </c>
      <c r="H32" s="5">
        <v>1</v>
      </c>
      <c r="I32" s="5" t="s">
        <v>565</v>
      </c>
      <c r="J32" s="5" t="s">
        <v>566</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row>
    <row r="33" spans="1:129" s="13" customFormat="1" ht="391.5" x14ac:dyDescent="0.35">
      <c r="A33" s="5" t="str">
        <f>HYPERLINK("https://grants.gov/search-results-detail/353145","NIPA-25-26-MEGA")</f>
        <v>NIPA-25-26-MEGA</v>
      </c>
      <c r="B33" s="5" t="s">
        <v>567</v>
      </c>
      <c r="C33" s="5" t="s">
        <v>568</v>
      </c>
      <c r="D33" s="5" t="s">
        <v>569</v>
      </c>
      <c r="E33" s="66">
        <v>45418</v>
      </c>
      <c r="F33" s="43">
        <v>1000000000</v>
      </c>
      <c r="G33" s="43">
        <v>0</v>
      </c>
      <c r="H33" s="5"/>
      <c r="I33" s="5" t="s">
        <v>570</v>
      </c>
      <c r="J33" s="5" t="s">
        <v>571</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row>
    <row r="34" spans="1:129" s="13" customFormat="1" ht="377" x14ac:dyDescent="0.35">
      <c r="A34" s="5" t="str">
        <f>HYPERLINK("https://grants.gov/search-results-detail/353144","NSMFHP-25-26-INFRA")</f>
        <v>NSMFHP-25-26-INFRA</v>
      </c>
      <c r="B34" s="5" t="s">
        <v>572</v>
      </c>
      <c r="C34" s="5" t="s">
        <v>568</v>
      </c>
      <c r="D34" s="5" t="s">
        <v>569</v>
      </c>
      <c r="E34" s="66">
        <v>45418</v>
      </c>
      <c r="F34" s="43">
        <v>2270520000</v>
      </c>
      <c r="G34" s="43">
        <v>5000000</v>
      </c>
      <c r="H34" s="5">
        <v>30</v>
      </c>
      <c r="I34" s="5" t="s">
        <v>573</v>
      </c>
      <c r="J34" s="5" t="s">
        <v>574</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row>
    <row r="35" spans="1:129" s="13" customFormat="1" ht="409.5" x14ac:dyDescent="0.35">
      <c r="A35" s="69" t="str">
        <f>HYPERLINK("https://www.grants.gov/view-opportunity.html?oppId=328902","20-01")</f>
        <v>20-01</v>
      </c>
      <c r="B35" s="69" t="s">
        <v>42</v>
      </c>
      <c r="C35" s="69" t="s">
        <v>43</v>
      </c>
      <c r="D35" s="69" t="s">
        <v>44</v>
      </c>
      <c r="E35" s="76">
        <v>46637</v>
      </c>
      <c r="F35" s="77">
        <v>6000000</v>
      </c>
      <c r="G35" s="72" t="s">
        <v>16</v>
      </c>
      <c r="H35" s="72"/>
      <c r="I35" s="73"/>
      <c r="J35" s="69" t="s">
        <v>45</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row>
    <row r="36" spans="1:129" s="13" customFormat="1" ht="409.5" x14ac:dyDescent="0.35">
      <c r="A36" s="13" t="str">
        <f>HYPERLINK("https://grants.gov/search-results-detail/39841","FAA-COE-JAMS")</f>
        <v>FAA-COE-JAMS</v>
      </c>
      <c r="B36" s="13" t="s">
        <v>313</v>
      </c>
      <c r="C36" s="13" t="s">
        <v>314</v>
      </c>
      <c r="D36" s="13" t="s">
        <v>315</v>
      </c>
      <c r="F36" s="30">
        <v>20000000</v>
      </c>
      <c r="G36" s="30">
        <v>0</v>
      </c>
      <c r="I36" s="13" t="s">
        <v>316</v>
      </c>
      <c r="J36" s="13" t="s">
        <v>317</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row>
    <row r="37" spans="1:129" s="13" customFormat="1" ht="217.5" x14ac:dyDescent="0.35">
      <c r="A37" s="13" t="str">
        <f>HYPERLINK("https://grants.gov/search-results-detail/350699","693JJ324NF-AIDDP")</f>
        <v>693JJ324NF-AIDDP</v>
      </c>
      <c r="B37" s="13" t="s">
        <v>318</v>
      </c>
      <c r="C37" s="13" t="s">
        <v>319</v>
      </c>
      <c r="D37" s="13" t="s">
        <v>320</v>
      </c>
      <c r="E37" s="80">
        <v>46168</v>
      </c>
      <c r="F37" s="30">
        <v>1000000</v>
      </c>
      <c r="G37" s="30">
        <v>100000</v>
      </c>
      <c r="H37" s="13">
        <v>40</v>
      </c>
      <c r="I37" s="13" t="s">
        <v>321</v>
      </c>
      <c r="J37" s="13" t="s">
        <v>322</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row>
    <row r="38" spans="1:129" s="13" customFormat="1" ht="130.5" x14ac:dyDescent="0.35">
      <c r="A38" s="5" t="str">
        <f>HYPERLINK("https://grants.gov/search-results-detail/353036","693JK324NF0003")</f>
        <v>693JK324NF0003</v>
      </c>
      <c r="B38" s="5" t="s">
        <v>575</v>
      </c>
      <c r="C38" s="5" t="s">
        <v>430</v>
      </c>
      <c r="D38" s="5" t="s">
        <v>431</v>
      </c>
      <c r="E38" s="66">
        <v>45429</v>
      </c>
      <c r="F38" s="43">
        <v>1000000</v>
      </c>
      <c r="G38" s="43">
        <v>250000</v>
      </c>
      <c r="H38" s="5">
        <v>4</v>
      </c>
      <c r="I38" s="5" t="s">
        <v>442</v>
      </c>
      <c r="J38" s="5" t="s">
        <v>576</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row>
    <row r="39" spans="1:129" s="17" customFormat="1" ht="409.5" x14ac:dyDescent="0.35">
      <c r="A39" s="13" t="str">
        <f>HYPERLINK("https://grants.gov/search-results-detail/352789","ED-GRANTS-030824-002")</f>
        <v>ED-GRANTS-030824-002</v>
      </c>
      <c r="B39" s="13" t="s">
        <v>468</v>
      </c>
      <c r="C39" s="13" t="s">
        <v>294</v>
      </c>
      <c r="D39" s="13" t="s">
        <v>295</v>
      </c>
      <c r="E39" s="31">
        <v>45419</v>
      </c>
      <c r="F39" s="30">
        <v>5000000</v>
      </c>
      <c r="G39" s="30" t="s">
        <v>379</v>
      </c>
      <c r="H39" s="13">
        <v>10</v>
      </c>
      <c r="I39" s="13" t="s">
        <v>469</v>
      </c>
      <c r="J39" s="13" t="s">
        <v>470</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row>
    <row r="40" spans="1:129" s="17" customFormat="1" ht="409.5" x14ac:dyDescent="0.35">
      <c r="A40" s="13" t="str">
        <f>HYPERLINK("https://grants.gov/search-results-detail/352788","ED-GRANTS-030824-001")</f>
        <v>ED-GRANTS-030824-001</v>
      </c>
      <c r="B40" s="13" t="s">
        <v>471</v>
      </c>
      <c r="C40" s="13" t="s">
        <v>294</v>
      </c>
      <c r="D40" s="13" t="s">
        <v>295</v>
      </c>
      <c r="E40" s="31">
        <v>45419</v>
      </c>
      <c r="F40" s="30">
        <v>5000000</v>
      </c>
      <c r="G40" s="30" t="s">
        <v>379</v>
      </c>
      <c r="H40" s="13">
        <v>34</v>
      </c>
      <c r="I40" s="13" t="s">
        <v>472</v>
      </c>
      <c r="J40" s="13" t="s">
        <v>473</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row>
    <row r="41" spans="1:129" s="17" customFormat="1" ht="217.5" x14ac:dyDescent="0.35">
      <c r="A41" s="5" t="str">
        <f>HYPERLINK("https://grants.gov/search-results-detail/353022","EPA-HQ-OCSPP-OPPT-FY2024-001")</f>
        <v>EPA-HQ-OCSPP-OPPT-FY2024-001</v>
      </c>
      <c r="B41" s="5" t="s">
        <v>577</v>
      </c>
      <c r="C41" s="5" t="s">
        <v>578</v>
      </c>
      <c r="D41" s="5" t="s">
        <v>579</v>
      </c>
      <c r="E41" s="66">
        <v>45429</v>
      </c>
      <c r="F41" s="43">
        <v>700000</v>
      </c>
      <c r="G41" s="43"/>
      <c r="H41" s="5">
        <v>25</v>
      </c>
      <c r="I41" s="5" t="s">
        <v>580</v>
      </c>
      <c r="J41" s="5" t="s">
        <v>581</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row>
    <row r="42" spans="1:129" s="17" customFormat="1" ht="203" x14ac:dyDescent="0.35">
      <c r="A42" s="5" t="str">
        <f>HYPERLINK("https://grants.gov/search-results-detail/353061","EPA-R10-OW-CRBRP-2024-01")</f>
        <v>EPA-R10-OW-CRBRP-2024-01</v>
      </c>
      <c r="B42" s="5" t="s">
        <v>582</v>
      </c>
      <c r="C42" s="5" t="s">
        <v>578</v>
      </c>
      <c r="D42" s="5" t="s">
        <v>579</v>
      </c>
      <c r="E42" s="66">
        <v>45429</v>
      </c>
      <c r="F42" s="43">
        <v>3000000</v>
      </c>
      <c r="G42" s="43">
        <v>300000</v>
      </c>
      <c r="H42" s="5">
        <v>7</v>
      </c>
      <c r="I42" s="5" t="s">
        <v>583</v>
      </c>
      <c r="J42" s="5" t="s">
        <v>584</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row>
    <row r="43" spans="1:129" s="13" customFormat="1" ht="159.5" x14ac:dyDescent="0.35">
      <c r="A43" s="5" t="str">
        <f>HYPERLINK("https://grants.gov/search-results-detail/353029","EPA-G2024-STAR-B1")</f>
        <v>EPA-G2024-STAR-B1</v>
      </c>
      <c r="B43" s="5" t="s">
        <v>585</v>
      </c>
      <c r="C43" s="5" t="s">
        <v>578</v>
      </c>
      <c r="D43" s="5" t="s">
        <v>579</v>
      </c>
      <c r="E43" s="66">
        <v>45441</v>
      </c>
      <c r="F43" s="43">
        <v>1500000</v>
      </c>
      <c r="G43" s="43"/>
      <c r="H43" s="5">
        <v>4</v>
      </c>
      <c r="I43" s="5" t="s">
        <v>580</v>
      </c>
      <c r="J43" s="5" t="s">
        <v>586</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row>
    <row r="44" spans="1:129" s="13" customFormat="1" ht="409.5" x14ac:dyDescent="0.35">
      <c r="A44" s="5" t="str">
        <f>HYPERLINK("https://grants.gov/search-results-detail/353438","EPA-G2024-STAR-D1")</f>
        <v>EPA-G2024-STAR-D1</v>
      </c>
      <c r="B44" s="5" t="s">
        <v>587</v>
      </c>
      <c r="C44" s="5" t="s">
        <v>578</v>
      </c>
      <c r="D44" s="5" t="s">
        <v>579</v>
      </c>
      <c r="E44" s="66">
        <v>45469</v>
      </c>
      <c r="F44" s="43">
        <v>1250000</v>
      </c>
      <c r="G44" s="43">
        <v>0</v>
      </c>
      <c r="H44" s="5">
        <v>8</v>
      </c>
      <c r="I44" s="5" t="s">
        <v>583</v>
      </c>
      <c r="J44" s="5" t="s">
        <v>588</v>
      </c>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row>
    <row r="45" spans="1:129" s="12" customFormat="1" ht="362.5" x14ac:dyDescent="0.35">
      <c r="A45" s="69" t="str">
        <f>HYPERLINK("https://www.grants.gov/view-opportunity.html?oppId=336920","RFA-EB-21-001")</f>
        <v>RFA-EB-21-001</v>
      </c>
      <c r="B45" s="69" t="s">
        <v>46</v>
      </c>
      <c r="C45" s="69" t="s">
        <v>18</v>
      </c>
      <c r="D45" s="69" t="s">
        <v>19</v>
      </c>
      <c r="E45" s="76">
        <v>45414</v>
      </c>
      <c r="F45" s="77">
        <v>500000</v>
      </c>
      <c r="G45" s="72" t="s">
        <v>17</v>
      </c>
      <c r="H45" s="72"/>
      <c r="I45" s="73"/>
      <c r="J45" s="69" t="s">
        <v>47</v>
      </c>
    </row>
    <row r="46" spans="1:129" s="12" customFormat="1" ht="232" x14ac:dyDescent="0.35">
      <c r="A46" s="5" t="str">
        <f>HYPERLINK("https://grants.gov/search-results-detail/353434","NNH24ZHA006C")</f>
        <v>NNH24ZHA006C</v>
      </c>
      <c r="B46" s="5" t="s">
        <v>589</v>
      </c>
      <c r="C46" s="5" t="s">
        <v>590</v>
      </c>
      <c r="D46" s="5" t="s">
        <v>591</v>
      </c>
      <c r="E46" s="66">
        <v>45449</v>
      </c>
      <c r="F46" s="43">
        <v>1200000</v>
      </c>
      <c r="G46" s="43">
        <v>0</v>
      </c>
      <c r="H46" s="5">
        <v>6</v>
      </c>
      <c r="I46" s="5" t="s">
        <v>592</v>
      </c>
      <c r="J46" s="5" t="s">
        <v>593</v>
      </c>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row>
    <row r="47" spans="1:129" s="12" customFormat="1" ht="275.5" x14ac:dyDescent="0.35">
      <c r="A47" s="13" t="str">
        <f>HYPERLINK("https://grants.gov/search-results-detail/352152","24-535")</f>
        <v>24-535</v>
      </c>
      <c r="B47" s="13" t="s">
        <v>400</v>
      </c>
      <c r="C47" s="13" t="s">
        <v>10</v>
      </c>
      <c r="D47" s="13" t="s">
        <v>11</v>
      </c>
      <c r="E47" s="13" t="s">
        <v>401</v>
      </c>
      <c r="F47" s="78">
        <v>2500000</v>
      </c>
      <c r="G47" s="13"/>
      <c r="H47" s="13">
        <v>4</v>
      </c>
      <c r="I47" s="13" t="s">
        <v>402</v>
      </c>
      <c r="J47" s="13" t="s">
        <v>403</v>
      </c>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row>
    <row r="48" spans="1:129" s="12" customFormat="1" ht="409.5" x14ac:dyDescent="0.35">
      <c r="A48" s="13" t="str">
        <f>HYPERLINK("https://grants.gov/search-results-detail/352560","24-549")</f>
        <v>24-549</v>
      </c>
      <c r="B48" s="13" t="s">
        <v>474</v>
      </c>
      <c r="C48" s="13" t="s">
        <v>10</v>
      </c>
      <c r="D48" s="13" t="s">
        <v>11</v>
      </c>
      <c r="E48" s="31">
        <v>45440</v>
      </c>
      <c r="F48" s="30">
        <v>800000</v>
      </c>
      <c r="G48" s="30">
        <v>400000</v>
      </c>
      <c r="H48" s="13">
        <v>24</v>
      </c>
      <c r="I48" s="13" t="s">
        <v>475</v>
      </c>
      <c r="J48" s="13" t="s">
        <v>476</v>
      </c>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row>
    <row r="49" spans="1:129" s="12" customFormat="1" ht="348" x14ac:dyDescent="0.35">
      <c r="A49" s="13" t="str">
        <f>HYPERLINK("https://grants.gov/search-results-detail/352795","24-553")</f>
        <v>24-553</v>
      </c>
      <c r="B49" s="13" t="s">
        <v>477</v>
      </c>
      <c r="C49" s="13" t="s">
        <v>10</v>
      </c>
      <c r="D49" s="13" t="s">
        <v>11</v>
      </c>
      <c r="E49" s="31">
        <v>45442</v>
      </c>
      <c r="F49" s="30">
        <v>2000000</v>
      </c>
      <c r="G49" s="30" t="s">
        <v>379</v>
      </c>
      <c r="H49" s="13">
        <v>6</v>
      </c>
      <c r="I49" s="13" t="s">
        <v>478</v>
      </c>
      <c r="J49" s="13" t="s">
        <v>479</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row>
    <row r="50" spans="1:129" s="12" customFormat="1" ht="409.5" x14ac:dyDescent="0.35">
      <c r="A50" s="13" t="str">
        <f>HYPERLINK("https://grants.gov/search-results-detail/352796","24-554")</f>
        <v>24-554</v>
      </c>
      <c r="B50" s="13" t="s">
        <v>480</v>
      </c>
      <c r="C50" s="13" t="s">
        <v>10</v>
      </c>
      <c r="D50" s="13" t="s">
        <v>11</v>
      </c>
      <c r="E50" s="31">
        <v>45446</v>
      </c>
      <c r="F50" s="30">
        <v>1200000</v>
      </c>
      <c r="G50" s="30" t="s">
        <v>379</v>
      </c>
      <c r="H50" s="13">
        <v>10</v>
      </c>
      <c r="I50" s="13" t="s">
        <v>481</v>
      </c>
      <c r="J50" s="13" t="s">
        <v>482</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row>
    <row r="51" spans="1:129" s="12" customFormat="1" ht="333.5" x14ac:dyDescent="0.35">
      <c r="A51" s="13" t="str">
        <f>HYPERLINK("https://grants.gov/search-results-detail/352819","24-555")</f>
        <v>24-555</v>
      </c>
      <c r="B51" s="13" t="s">
        <v>483</v>
      </c>
      <c r="C51" s="13" t="s">
        <v>10</v>
      </c>
      <c r="D51" s="13" t="s">
        <v>11</v>
      </c>
      <c r="E51" s="31">
        <v>45447</v>
      </c>
      <c r="F51" s="30">
        <v>2000000</v>
      </c>
      <c r="G51" s="30" t="s">
        <v>379</v>
      </c>
      <c r="H51" s="13"/>
      <c r="I51" s="13" t="s">
        <v>484</v>
      </c>
      <c r="J51" s="13" t="s">
        <v>485</v>
      </c>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row>
    <row r="52" spans="1:129" s="12" customFormat="1" ht="409.5" x14ac:dyDescent="0.35">
      <c r="A52" s="13" t="str">
        <f>HYPERLINK("https://grants.gov/search-results-detail/352911","24-556")</f>
        <v>24-556</v>
      </c>
      <c r="B52" s="13" t="s">
        <v>486</v>
      </c>
      <c r="C52" s="13" t="s">
        <v>10</v>
      </c>
      <c r="D52" s="13" t="s">
        <v>11</v>
      </c>
      <c r="E52" s="31">
        <v>45454</v>
      </c>
      <c r="F52" s="30">
        <v>5000000</v>
      </c>
      <c r="G52" s="30" t="s">
        <v>379</v>
      </c>
      <c r="H52" s="13">
        <v>7</v>
      </c>
      <c r="I52" s="13" t="s">
        <v>487</v>
      </c>
      <c r="J52" s="13" t="s">
        <v>488</v>
      </c>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row>
    <row r="53" spans="1:129" s="12" customFormat="1" ht="409.5" x14ac:dyDescent="0.35">
      <c r="A53" s="5" t="str">
        <f>HYPERLINK("https://grants.gov/search-results-detail/353192","24-560")</f>
        <v>24-560</v>
      </c>
      <c r="B53" s="5" t="s">
        <v>594</v>
      </c>
      <c r="C53" s="5" t="s">
        <v>10</v>
      </c>
      <c r="D53" s="5" t="s">
        <v>11</v>
      </c>
      <c r="E53" s="66">
        <v>45464</v>
      </c>
      <c r="F53" s="43">
        <v>1200000</v>
      </c>
      <c r="G53" s="43">
        <v>800000</v>
      </c>
      <c r="H53" s="5">
        <v>15</v>
      </c>
      <c r="I53" s="5" t="s">
        <v>487</v>
      </c>
      <c r="J53" s="5" t="s">
        <v>595</v>
      </c>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row>
    <row r="54" spans="1:129" s="12" customFormat="1" ht="409.5" x14ac:dyDescent="0.35">
      <c r="A54" s="5" t="str">
        <f>HYPERLINK("https://grants.gov/search-results-detail/353280","24-563")</f>
        <v>24-563</v>
      </c>
      <c r="B54" s="5" t="s">
        <v>596</v>
      </c>
      <c r="C54" s="5" t="s">
        <v>10</v>
      </c>
      <c r="D54" s="5" t="s">
        <v>11</v>
      </c>
      <c r="E54" s="66">
        <v>45467</v>
      </c>
      <c r="F54" s="43">
        <v>5000000</v>
      </c>
      <c r="G54" s="43">
        <v>125000</v>
      </c>
      <c r="H54" s="5">
        <v>60</v>
      </c>
      <c r="I54" s="5" t="s">
        <v>597</v>
      </c>
      <c r="J54" s="5" t="s">
        <v>598</v>
      </c>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row>
    <row r="55" spans="1:129" s="12" customFormat="1" ht="409.5" x14ac:dyDescent="0.35">
      <c r="A55" s="5" t="str">
        <f>HYPERLINK("https://grants.gov/search-results-detail/353193","24-562")</f>
        <v>24-562</v>
      </c>
      <c r="B55" s="5" t="s">
        <v>599</v>
      </c>
      <c r="C55" s="5" t="s">
        <v>10</v>
      </c>
      <c r="D55" s="5" t="s">
        <v>11</v>
      </c>
      <c r="E55" s="66">
        <v>45506</v>
      </c>
      <c r="F55" s="43">
        <v>2000000</v>
      </c>
      <c r="G55" s="43">
        <v>100000</v>
      </c>
      <c r="H55" s="5">
        <v>9</v>
      </c>
      <c r="I55" s="5" t="s">
        <v>600</v>
      </c>
      <c r="J55" s="5" t="s">
        <v>601</v>
      </c>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row>
    <row r="56" spans="1:129" s="12" customFormat="1" ht="409.5" x14ac:dyDescent="0.35">
      <c r="A56" s="13" t="str">
        <f>HYPERLINK("https://grants.gov/search-results-detail/352561","24-550")</f>
        <v>24-550</v>
      </c>
      <c r="B56" s="13" t="s">
        <v>489</v>
      </c>
      <c r="C56" s="13" t="s">
        <v>10</v>
      </c>
      <c r="D56" s="13" t="s">
        <v>11</v>
      </c>
      <c r="E56" s="31">
        <v>45534</v>
      </c>
      <c r="F56" s="30">
        <v>3750000</v>
      </c>
      <c r="G56" s="30" t="s">
        <v>379</v>
      </c>
      <c r="H56" s="13">
        <v>8</v>
      </c>
      <c r="I56" s="13" t="s">
        <v>490</v>
      </c>
      <c r="J56" s="13" t="s">
        <v>491</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row>
    <row r="57" spans="1:129" s="12" customFormat="1" ht="409.5" x14ac:dyDescent="0.35">
      <c r="A57" s="5" t="str">
        <f>HYPERLINK("https://grants.gov/search-results-detail/353413","24-564")</f>
        <v>24-564</v>
      </c>
      <c r="B57" s="5" t="s">
        <v>602</v>
      </c>
      <c r="C57" s="5" t="s">
        <v>10</v>
      </c>
      <c r="D57" s="5" t="s">
        <v>11</v>
      </c>
      <c r="E57" s="66">
        <v>45545</v>
      </c>
      <c r="F57" s="43">
        <v>2000000</v>
      </c>
      <c r="G57" s="43">
        <v>50000</v>
      </c>
      <c r="H57" s="5">
        <v>19</v>
      </c>
      <c r="I57" s="5" t="s">
        <v>603</v>
      </c>
      <c r="J57" s="5" t="s">
        <v>604</v>
      </c>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row>
    <row r="58" spans="1:129" s="12" customFormat="1" ht="409.5" x14ac:dyDescent="0.35">
      <c r="A58" s="13" t="str">
        <f>HYPERLINK("https://grants.gov/search-results-detail/352749","24-552")</f>
        <v>24-552</v>
      </c>
      <c r="B58" s="13" t="s">
        <v>492</v>
      </c>
      <c r="C58" s="13" t="s">
        <v>10</v>
      </c>
      <c r="D58" s="13" t="s">
        <v>11</v>
      </c>
      <c r="E58" s="31">
        <v>45555</v>
      </c>
      <c r="F58" s="30">
        <v>3750000</v>
      </c>
      <c r="G58" s="30" t="s">
        <v>379</v>
      </c>
      <c r="H58" s="13">
        <v>8</v>
      </c>
      <c r="I58" s="13" t="s">
        <v>493</v>
      </c>
      <c r="J58" s="13" t="s">
        <v>494</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row>
    <row r="59" spans="1:129" s="12" customFormat="1" ht="409.5" x14ac:dyDescent="0.35">
      <c r="A59" s="13" t="str">
        <f>HYPERLINK("https://grants.gov/search-results-detail/352536","24-545")</f>
        <v>24-545</v>
      </c>
      <c r="B59" s="13" t="s">
        <v>495</v>
      </c>
      <c r="C59" s="13" t="s">
        <v>10</v>
      </c>
      <c r="D59" s="13" t="s">
        <v>11</v>
      </c>
      <c r="E59" s="31">
        <v>45565</v>
      </c>
      <c r="F59" s="30">
        <v>3700000</v>
      </c>
      <c r="G59" s="30" t="s">
        <v>379</v>
      </c>
      <c r="H59" s="13"/>
      <c r="I59" s="13" t="s">
        <v>496</v>
      </c>
      <c r="J59" s="13" t="s">
        <v>497</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row>
    <row r="60" spans="1:129" s="12" customFormat="1" ht="409.5" x14ac:dyDescent="0.35">
      <c r="A60" s="27" t="str">
        <f>HYPERLINK("https://grants.gov/search-results-detail/352454","24-543")</f>
        <v>24-543</v>
      </c>
      <c r="B60" s="13" t="s">
        <v>498</v>
      </c>
      <c r="C60" s="13" t="s">
        <v>10</v>
      </c>
      <c r="D60" s="13" t="s">
        <v>11</v>
      </c>
      <c r="E60" s="13"/>
      <c r="F60" s="81">
        <v>5000000</v>
      </c>
      <c r="G60" s="30">
        <v>5000</v>
      </c>
      <c r="H60" s="13"/>
      <c r="I60" s="13" t="s">
        <v>487</v>
      </c>
      <c r="J60" s="13" t="s">
        <v>499</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row>
    <row r="61" spans="1:129" s="12" customFormat="1" ht="409.5" x14ac:dyDescent="0.35">
      <c r="A61" s="13" t="str">
        <f>HYPERLINK("https://grants.gov/search-results-detail/350803","24-504")</f>
        <v>24-504</v>
      </c>
      <c r="B61" s="13" t="s">
        <v>54</v>
      </c>
      <c r="C61" s="13" t="s">
        <v>10</v>
      </c>
      <c r="D61" s="13" t="s">
        <v>11</v>
      </c>
      <c r="E61" s="13"/>
      <c r="F61" s="30">
        <v>3000000</v>
      </c>
      <c r="G61" s="30">
        <v>50000</v>
      </c>
      <c r="H61" s="13"/>
      <c r="I61" s="13" t="s">
        <v>323</v>
      </c>
      <c r="J61" s="13" t="s">
        <v>324</v>
      </c>
      <c r="K61" s="13"/>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row>
    <row r="62" spans="1:129" s="12" customFormat="1" ht="409.5" x14ac:dyDescent="0.35">
      <c r="A62" s="69" t="str">
        <f>HYPERLINK("https://www.grants.gov/view-opportunity.html?oppId=330296","21-544")</f>
        <v>21-544</v>
      </c>
      <c r="B62" s="69" t="s">
        <v>53</v>
      </c>
      <c r="C62" s="69" t="s">
        <v>10</v>
      </c>
      <c r="D62" s="69" t="s">
        <v>11</v>
      </c>
      <c r="E62" s="72"/>
      <c r="F62" s="72"/>
      <c r="G62" s="77">
        <v>600000</v>
      </c>
      <c r="H62" s="72"/>
      <c r="I62" s="73"/>
      <c r="J62" s="69" t="s">
        <v>113</v>
      </c>
    </row>
    <row r="63" spans="1:129" s="12" customFormat="1" ht="409.5" x14ac:dyDescent="0.35">
      <c r="A63" s="69" t="str">
        <f>HYPERLINK("https://www.grants.gov/view-opportunity.html?oppId=336226","22-517")</f>
        <v>22-517</v>
      </c>
      <c r="B63" s="69" t="s">
        <v>54</v>
      </c>
      <c r="C63" s="69" t="s">
        <v>10</v>
      </c>
      <c r="D63" s="69" t="s">
        <v>11</v>
      </c>
      <c r="E63" s="72"/>
      <c r="F63" s="77">
        <v>3000000</v>
      </c>
      <c r="G63" s="72" t="s">
        <v>55</v>
      </c>
      <c r="H63" s="72"/>
      <c r="I63" s="73"/>
      <c r="J63" s="69" t="s">
        <v>56</v>
      </c>
    </row>
    <row r="64" spans="1:129" s="12" customFormat="1" ht="409.5" x14ac:dyDescent="0.35">
      <c r="A64" s="37" t="str">
        <f>HYPERLINK("https://www.grants.gov/view-opportunity.html?oppId=343875","22-639")</f>
        <v>22-639</v>
      </c>
      <c r="B64" s="38" t="s">
        <v>15</v>
      </c>
      <c r="C64" s="38" t="s">
        <v>10</v>
      </c>
      <c r="D64" s="38" t="s">
        <v>11</v>
      </c>
      <c r="E64" s="37"/>
      <c r="F64" s="37" t="s">
        <v>17</v>
      </c>
      <c r="G64" s="37" t="s">
        <v>117</v>
      </c>
      <c r="H64" s="37"/>
      <c r="I64" s="38" t="s">
        <v>118</v>
      </c>
      <c r="J64" s="38" t="s">
        <v>119</v>
      </c>
    </row>
    <row r="65" spans="1:129" s="12" customFormat="1" ht="348" x14ac:dyDescent="0.35">
      <c r="A65" s="12" t="str">
        <f>HYPERLINK("https://www.grants.gov/view-opportunity.html?oppId=347680","23-578")</f>
        <v>23-578</v>
      </c>
      <c r="B65" s="13" t="s">
        <v>52</v>
      </c>
      <c r="C65" s="12" t="s">
        <v>10</v>
      </c>
      <c r="D65" s="13" t="s">
        <v>11</v>
      </c>
      <c r="F65" s="12" t="s">
        <v>191</v>
      </c>
      <c r="G65" s="12" t="s">
        <v>104</v>
      </c>
      <c r="H65" s="12">
        <v>40</v>
      </c>
      <c r="I65" s="13" t="s">
        <v>192</v>
      </c>
      <c r="J65" s="13" t="s">
        <v>193</v>
      </c>
    </row>
    <row r="66" spans="1:129" s="12" customFormat="1" ht="290" x14ac:dyDescent="0.35">
      <c r="A66" s="12" t="str">
        <f>HYPERLINK("https://www.grants.gov/view-opportunity.html?oppId=347679","23-580")</f>
        <v>23-580</v>
      </c>
      <c r="B66" s="13" t="s">
        <v>50</v>
      </c>
      <c r="C66" s="12" t="s">
        <v>10</v>
      </c>
      <c r="D66" s="13" t="s">
        <v>11</v>
      </c>
      <c r="F66" s="12" t="s">
        <v>111</v>
      </c>
      <c r="G66" s="12" t="s">
        <v>110</v>
      </c>
      <c r="H66" s="12">
        <v>60</v>
      </c>
      <c r="I66" s="13" t="s">
        <v>173</v>
      </c>
      <c r="J66" s="13" t="s">
        <v>51</v>
      </c>
    </row>
    <row r="67" spans="1:129" s="12" customFormat="1" ht="409.5" x14ac:dyDescent="0.35">
      <c r="A67" s="13" t="str">
        <f>HYPERLINK("https://grants.gov/search-results-detail/351814","DE-FOA-0003266")</f>
        <v>DE-FOA-0003266</v>
      </c>
      <c r="B67" s="13" t="s">
        <v>404</v>
      </c>
      <c r="C67" s="13" t="s">
        <v>131</v>
      </c>
      <c r="D67" s="13" t="s">
        <v>120</v>
      </c>
      <c r="E67" s="13" t="s">
        <v>405</v>
      </c>
      <c r="F67" s="78">
        <v>3000000</v>
      </c>
      <c r="G67" s="78">
        <v>600000</v>
      </c>
      <c r="H67" s="13"/>
      <c r="I67" s="13" t="s">
        <v>406</v>
      </c>
      <c r="J67" s="13" t="s">
        <v>407</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row>
    <row r="68" spans="1:129" s="12" customFormat="1" ht="409.5" x14ac:dyDescent="0.35">
      <c r="A68" s="13" t="str">
        <f>HYPERLINK("https://grants.gov/search-results-detail/352234","DE-FOA-0003265")</f>
        <v>DE-FOA-0003265</v>
      </c>
      <c r="B68" s="13" t="s">
        <v>408</v>
      </c>
      <c r="C68" s="13" t="s">
        <v>131</v>
      </c>
      <c r="D68" s="13" t="s">
        <v>120</v>
      </c>
      <c r="E68" s="13" t="s">
        <v>280</v>
      </c>
      <c r="F68" s="78">
        <v>15000000</v>
      </c>
      <c r="G68" s="78">
        <v>1250000</v>
      </c>
      <c r="H68" s="13"/>
      <c r="I68" s="13" t="s">
        <v>409</v>
      </c>
      <c r="J68" s="13" t="s">
        <v>410</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row>
    <row r="69" spans="1:129" s="12" customFormat="1" ht="217.5" x14ac:dyDescent="0.35">
      <c r="A69" s="13" t="str">
        <f>HYPERLINK("https://grants.gov/search-results-detail/351908","DE-FOA-0003258")</f>
        <v>DE-FOA-0003258</v>
      </c>
      <c r="B69" s="13" t="s">
        <v>411</v>
      </c>
      <c r="C69" s="13" t="s">
        <v>131</v>
      </c>
      <c r="D69" s="13" t="s">
        <v>120</v>
      </c>
      <c r="E69" s="13" t="s">
        <v>280</v>
      </c>
      <c r="F69" s="78">
        <v>16000000</v>
      </c>
      <c r="G69" s="78">
        <v>8000000</v>
      </c>
      <c r="H69" s="13"/>
      <c r="I69" s="13" t="s">
        <v>385</v>
      </c>
      <c r="J69" s="13" t="s">
        <v>412</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row>
    <row r="70" spans="1:129" s="12" customFormat="1" ht="409.5" x14ac:dyDescent="0.35">
      <c r="A70" s="13" t="str">
        <f>HYPERLINK("https://grants.gov/search-results-detail/352897","DE-FOA-0003280")</f>
        <v>DE-FOA-0003280</v>
      </c>
      <c r="B70" s="13" t="s">
        <v>500</v>
      </c>
      <c r="C70" s="13" t="s">
        <v>131</v>
      </c>
      <c r="D70" s="13" t="s">
        <v>120</v>
      </c>
      <c r="E70" s="31">
        <v>45496</v>
      </c>
      <c r="F70" s="30">
        <v>2250000</v>
      </c>
      <c r="G70" s="30">
        <v>100000</v>
      </c>
      <c r="H70" s="13">
        <v>30</v>
      </c>
      <c r="I70" s="13" t="s">
        <v>501</v>
      </c>
      <c r="J70" s="13" t="s">
        <v>502</v>
      </c>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row>
    <row r="71" spans="1:129" s="12" customFormat="1" ht="188.5" x14ac:dyDescent="0.35">
      <c r="A71" s="13" t="str">
        <f>HYPERLINK("https://www.grants.gov/view-opportunity.html?oppId=350408","DE-FOA-0003177")</f>
        <v>DE-FOA-0003177</v>
      </c>
      <c r="B71" s="13" t="s">
        <v>299</v>
      </c>
      <c r="C71" s="13" t="s">
        <v>131</v>
      </c>
      <c r="D71" s="13" t="s">
        <v>120</v>
      </c>
      <c r="E71" s="13" t="s">
        <v>300</v>
      </c>
      <c r="F71" s="13" t="s">
        <v>107</v>
      </c>
      <c r="G71" s="13" t="s">
        <v>130</v>
      </c>
      <c r="H71" s="13">
        <v>300</v>
      </c>
      <c r="I71" s="13" t="s">
        <v>127</v>
      </c>
      <c r="J71" s="13" t="s">
        <v>126</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row>
    <row r="72" spans="1:129" s="12" customFormat="1" ht="408.65" customHeight="1" x14ac:dyDescent="0.35">
      <c r="A72" s="13" t="str">
        <f>HYPERLINK("https://grants.gov/search-results-detail/351206","DE-FOA-0003228")</f>
        <v>DE-FOA-0003228</v>
      </c>
      <c r="B72" s="13" t="s">
        <v>359</v>
      </c>
      <c r="C72" s="13" t="s">
        <v>131</v>
      </c>
      <c r="D72" s="13" t="s">
        <v>120</v>
      </c>
      <c r="E72" s="13" t="s">
        <v>360</v>
      </c>
      <c r="F72" s="30">
        <v>900000</v>
      </c>
      <c r="G72" s="30">
        <v>600000</v>
      </c>
      <c r="H72" s="13"/>
      <c r="I72" s="13" t="s">
        <v>361</v>
      </c>
      <c r="J72" s="13" t="s">
        <v>362</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row>
    <row r="73" spans="1:129" s="37" customFormat="1" x14ac:dyDescent="0.35">
      <c r="B73" s="39"/>
      <c r="C73" s="39"/>
      <c r="D73" s="39"/>
      <c r="E73" s="40"/>
      <c r="F73" s="40"/>
      <c r="G73" s="40"/>
      <c r="I73" s="38"/>
      <c r="J73" s="38"/>
    </row>
  </sheetData>
  <sortState xmlns:xlrd2="http://schemas.microsoft.com/office/spreadsheetml/2017/richdata2" ref="A4:DY72">
    <sortCondition ref="C4:C72"/>
    <sortCondition ref="E4:E72"/>
  </sortState>
  <conditionalFormatting sqref="A1">
    <cfRule type="duplicateValues" dxfId="5" priority="5"/>
  </conditionalFormatting>
  <conditionalFormatting sqref="A2:A22">
    <cfRule type="duplicateValues" dxfId="4" priority="4"/>
  </conditionalFormatting>
  <conditionalFormatting sqref="A23:A38">
    <cfRule type="duplicateValues" dxfId="3" priority="205"/>
  </conditionalFormatting>
  <pageMargins left="0.7" right="0.7" top="0.75" bottom="0.75" header="0.511811023622047" footer="0.511811023622047"/>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Y128"/>
  <sheetViews>
    <sheetView zoomScale="99" zoomScaleNormal="99" workbookViewId="0">
      <selection activeCell="F4" sqref="F4"/>
    </sheetView>
  </sheetViews>
  <sheetFormatPr defaultColWidth="8.54296875" defaultRowHeight="14.5" x14ac:dyDescent="0.35"/>
  <cols>
    <col min="1" max="1" width="27.6328125" style="12" customWidth="1"/>
    <col min="2" max="2" width="23.6328125" style="19" customWidth="1"/>
    <col min="3" max="3" width="18.36328125" style="19" customWidth="1"/>
    <col min="4" max="4" width="21.36328125" style="19" customWidth="1"/>
    <col min="5" max="5" width="14.453125" style="36" customWidth="1"/>
    <col min="6" max="6" width="20.6328125" style="18" customWidth="1"/>
    <col min="7" max="7" width="22.6328125" style="18" customWidth="1"/>
    <col min="8" max="8" width="15.54296875" style="12" customWidth="1"/>
    <col min="9" max="9" width="66.6328125" style="13" customWidth="1"/>
    <col min="10" max="10" width="60.6328125" style="13" customWidth="1"/>
    <col min="11" max="16384" width="8.54296875" style="12"/>
  </cols>
  <sheetData>
    <row r="1" spans="1:129" s="17" customFormat="1" ht="31.25" customHeight="1" x14ac:dyDescent="0.5">
      <c r="A1" s="26" t="s">
        <v>533</v>
      </c>
      <c r="B1" s="14"/>
      <c r="C1" s="14"/>
      <c r="D1" s="14"/>
      <c r="E1" s="32"/>
      <c r="F1" s="14"/>
    </row>
    <row r="2" spans="1:129" x14ac:dyDescent="0.35">
      <c r="A2" s="14" t="s">
        <v>246</v>
      </c>
      <c r="B2" s="14"/>
      <c r="C2" s="14"/>
      <c r="D2" s="14"/>
      <c r="E2" s="32"/>
      <c r="F2" s="17"/>
      <c r="G2" s="17"/>
      <c r="H2" s="17"/>
      <c r="I2" s="17"/>
      <c r="J2" s="17"/>
    </row>
    <row r="3" spans="1:129" s="20" customFormat="1" ht="18.5" x14ac:dyDescent="0.35">
      <c r="A3" s="16" t="s">
        <v>121</v>
      </c>
      <c r="B3" s="16" t="s">
        <v>122</v>
      </c>
      <c r="C3" s="16" t="s">
        <v>0</v>
      </c>
      <c r="D3" s="16" t="s">
        <v>123</v>
      </c>
      <c r="E3" s="33" t="s">
        <v>190</v>
      </c>
      <c r="F3" s="16" t="s">
        <v>124</v>
      </c>
      <c r="G3" s="16" t="s">
        <v>205</v>
      </c>
      <c r="H3" s="16" t="s">
        <v>125</v>
      </c>
      <c r="I3" s="16" t="s">
        <v>112</v>
      </c>
      <c r="J3" s="16" t="s">
        <v>1</v>
      </c>
    </row>
    <row r="4" spans="1:129" s="5" customFormat="1" ht="101.5" x14ac:dyDescent="0.35">
      <c r="A4" s="69" t="str">
        <f>HYPERLINK("https://www.grants.gov/view-opportunity.html?oppId=329261","NOAA-NFA-NFAPO-2021-2006626")</f>
        <v>NOAA-NFA-NFAPO-2021-2006626</v>
      </c>
      <c r="B4" s="69" t="s">
        <v>57</v>
      </c>
      <c r="C4" s="69" t="s">
        <v>2</v>
      </c>
      <c r="D4" s="69" t="s">
        <v>3</v>
      </c>
      <c r="E4" s="76">
        <v>45565</v>
      </c>
      <c r="F4" s="76"/>
      <c r="G4" s="72"/>
      <c r="H4" s="72"/>
      <c r="I4" s="73"/>
      <c r="J4" s="69" t="s">
        <v>58</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row>
    <row r="5" spans="1:129" s="5" customFormat="1" ht="145" x14ac:dyDescent="0.35">
      <c r="A5" s="5" t="str">
        <f>HYPERLINK("https://grants.gov/search-results-detail/353143","2024-NIST-RAMPS-01")</f>
        <v>2024-NIST-RAMPS-01</v>
      </c>
      <c r="B5" s="5" t="s">
        <v>605</v>
      </c>
      <c r="C5" s="5" t="s">
        <v>60</v>
      </c>
      <c r="D5" s="5" t="s">
        <v>61</v>
      </c>
      <c r="E5" s="66">
        <v>45436</v>
      </c>
      <c r="F5" s="43"/>
      <c r="G5" s="43"/>
      <c r="I5" s="5" t="s">
        <v>606</v>
      </c>
      <c r="J5" s="5" t="s">
        <v>607</v>
      </c>
    </row>
    <row r="6" spans="1:129" s="5" customFormat="1" ht="275.5" x14ac:dyDescent="0.35">
      <c r="A6" s="5" t="str">
        <f>HYPERLINK("https://grants.gov/search-results-detail/353265","2024-NIST-AFTT-01")</f>
        <v>2024-NIST-AFTT-01</v>
      </c>
      <c r="B6" s="5" t="s">
        <v>608</v>
      </c>
      <c r="C6" s="5" t="s">
        <v>60</v>
      </c>
      <c r="D6" s="5" t="s">
        <v>61</v>
      </c>
      <c r="E6" s="66">
        <v>45440</v>
      </c>
      <c r="F6" s="43"/>
      <c r="G6" s="43"/>
      <c r="H6" s="5">
        <v>1</v>
      </c>
      <c r="I6" s="5" t="s">
        <v>609</v>
      </c>
      <c r="J6" s="5" t="s">
        <v>610</v>
      </c>
    </row>
    <row r="7" spans="1:129" s="5" customFormat="1" ht="130.5" x14ac:dyDescent="0.35">
      <c r="A7" s="5" t="str">
        <f>HYPERLINK("https://grants.gov/search-results-detail/353288","2024-NIST-SBIR-02")</f>
        <v>2024-NIST-SBIR-02</v>
      </c>
      <c r="B7" s="5" t="s">
        <v>611</v>
      </c>
      <c r="C7" s="5" t="s">
        <v>60</v>
      </c>
      <c r="D7" s="5" t="s">
        <v>61</v>
      </c>
      <c r="E7" s="66">
        <v>45442</v>
      </c>
      <c r="F7" s="43"/>
      <c r="G7" s="43"/>
      <c r="I7" s="5" t="s">
        <v>612</v>
      </c>
      <c r="J7" s="5" t="s">
        <v>613</v>
      </c>
    </row>
    <row r="8" spans="1:129" s="5" customFormat="1" ht="116" x14ac:dyDescent="0.35">
      <c r="A8" s="13" t="str">
        <f>HYPERLINK("https://grants.gov/search-results-detail/352662","2024-NIST-CHIPS-NAPMP-01")</f>
        <v>2024-NIST-CHIPS-NAPMP-01</v>
      </c>
      <c r="B8" s="13" t="s">
        <v>505</v>
      </c>
      <c r="C8" s="13" t="s">
        <v>60</v>
      </c>
      <c r="D8" s="13" t="s">
        <v>61</v>
      </c>
      <c r="E8" s="31">
        <v>45476</v>
      </c>
      <c r="F8" s="13"/>
      <c r="G8" s="13"/>
      <c r="H8" s="13"/>
      <c r="I8" s="13" t="s">
        <v>506</v>
      </c>
      <c r="J8" s="13" t="s">
        <v>507</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row>
    <row r="9" spans="1:129" s="5" customFormat="1" ht="174" x14ac:dyDescent="0.35">
      <c r="A9" s="12" t="str">
        <f>HYPERLINK("https://www.grants.gov/view-opportunity.html?oppId=347512","2023-NIST-MSE-01")</f>
        <v>2023-NIST-MSE-01</v>
      </c>
      <c r="B9" s="13" t="s">
        <v>59</v>
      </c>
      <c r="C9" s="12" t="s">
        <v>60</v>
      </c>
      <c r="D9" s="13" t="s">
        <v>61</v>
      </c>
      <c r="E9" s="34" t="s">
        <v>194</v>
      </c>
      <c r="F9" s="12" t="s">
        <v>17</v>
      </c>
      <c r="G9" s="12" t="s">
        <v>17</v>
      </c>
      <c r="H9" s="12">
        <v>300</v>
      </c>
      <c r="I9" s="13" t="s">
        <v>195</v>
      </c>
      <c r="J9" s="13" t="s">
        <v>196</v>
      </c>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row>
    <row r="10" spans="1:129" s="5" customFormat="1" ht="232" x14ac:dyDescent="0.35">
      <c r="A10" s="13" t="str">
        <f>HYPERLINK("https://grants.gov/search-results-detail/352807","2024-NIST-MSE-01")</f>
        <v>2024-NIST-MSE-01</v>
      </c>
      <c r="B10" s="13" t="s">
        <v>59</v>
      </c>
      <c r="C10" s="13" t="s">
        <v>60</v>
      </c>
      <c r="D10" s="13" t="s">
        <v>61</v>
      </c>
      <c r="E10" s="31">
        <v>46086</v>
      </c>
      <c r="F10" s="13"/>
      <c r="G10" s="13"/>
      <c r="H10" s="13"/>
      <c r="I10" s="13" t="s">
        <v>503</v>
      </c>
      <c r="J10" s="13" t="s">
        <v>504</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row>
    <row r="11" spans="1:129" s="5" customFormat="1" ht="145" x14ac:dyDescent="0.35">
      <c r="A11" s="13" t="str">
        <f>HYPERLINK("https://www.grants.gov/view-opportunity.html?oppId=350338","2023-NIST-CHIPS-SMME-01")</f>
        <v>2023-NIST-CHIPS-SMME-01</v>
      </c>
      <c r="B11" s="13" t="s">
        <v>273</v>
      </c>
      <c r="C11" s="13" t="s">
        <v>60</v>
      </c>
      <c r="D11" s="13" t="s">
        <v>61</v>
      </c>
      <c r="E11" s="31"/>
      <c r="F11" s="13" t="s">
        <v>17</v>
      </c>
      <c r="G11" s="13" t="s">
        <v>17</v>
      </c>
      <c r="H11" s="13"/>
      <c r="I11" s="13" t="s">
        <v>274</v>
      </c>
      <c r="J11" s="13" t="s">
        <v>275</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row>
    <row r="12" spans="1:129" s="5" customFormat="1" ht="203" x14ac:dyDescent="0.35">
      <c r="A12" s="69" t="str">
        <f>HYPERLINK("https://www.grants.gov/view-opportunity.html?oppId=331121","2021-NIST-MSE-01")</f>
        <v>2021-NIST-MSE-01</v>
      </c>
      <c r="B12" s="69" t="s">
        <v>59</v>
      </c>
      <c r="C12" s="69" t="s">
        <v>60</v>
      </c>
      <c r="D12" s="69" t="s">
        <v>61</v>
      </c>
      <c r="E12" s="76"/>
      <c r="F12" s="72"/>
      <c r="G12" s="72"/>
      <c r="H12" s="72"/>
      <c r="I12" s="73"/>
      <c r="J12" s="69" t="s">
        <v>62</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row>
    <row r="13" spans="1:129" s="5" customFormat="1" ht="130.5" x14ac:dyDescent="0.35">
      <c r="A13" s="13" t="str">
        <f>HYPERLINK("https://www.grants.gov/view-opportunity.html?oppId=346349","2023-NIST-CHIPS-CFF-01")</f>
        <v>2023-NIST-CHIPS-CFF-01</v>
      </c>
      <c r="B13" s="13" t="s">
        <v>164</v>
      </c>
      <c r="C13" s="13" t="s">
        <v>60</v>
      </c>
      <c r="D13" s="13" t="s">
        <v>61</v>
      </c>
      <c r="E13" s="31"/>
      <c r="F13" s="13" t="s">
        <v>17</v>
      </c>
      <c r="G13" s="13" t="s">
        <v>17</v>
      </c>
      <c r="H13" s="13">
        <v>500</v>
      </c>
      <c r="I13" s="13" t="s">
        <v>165</v>
      </c>
      <c r="J13" s="13" t="s">
        <v>166</v>
      </c>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row>
    <row r="14" spans="1:129" s="5" customFormat="1" ht="246.5" x14ac:dyDescent="0.35">
      <c r="A14" s="5" t="str">
        <f>HYPERLINK("https://grants.gov/search-results-detail/353292","NTIA-SDECGP-2024")</f>
        <v>NTIA-SDECGP-2024</v>
      </c>
      <c r="B14" s="5" t="s">
        <v>614</v>
      </c>
      <c r="C14" s="5" t="s">
        <v>615</v>
      </c>
      <c r="D14" s="5" t="s">
        <v>616</v>
      </c>
      <c r="F14" s="43"/>
      <c r="G14" s="43"/>
      <c r="I14" s="5" t="s">
        <v>617</v>
      </c>
      <c r="J14" s="5" t="s">
        <v>618</v>
      </c>
    </row>
    <row r="15" spans="1:129" s="5" customFormat="1" ht="43.5" x14ac:dyDescent="0.35">
      <c r="A15" s="13" t="str">
        <f>HYPERLINK("https://www.grants.gov/view-opportunity.html?oppId=349554","FA2391-23-S-2403")</f>
        <v>FA2391-23-S-2403</v>
      </c>
      <c r="B15" s="13" t="s">
        <v>247</v>
      </c>
      <c r="C15" s="13" t="s">
        <v>248</v>
      </c>
      <c r="D15" s="13" t="s">
        <v>249</v>
      </c>
      <c r="E15" s="31" t="s">
        <v>250</v>
      </c>
      <c r="F15" s="13" t="s">
        <v>17</v>
      </c>
      <c r="G15" s="13" t="s">
        <v>17</v>
      </c>
      <c r="H15" s="13"/>
      <c r="I15" s="13" t="s">
        <v>127</v>
      </c>
      <c r="J15" s="13" t="s">
        <v>247</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row>
    <row r="16" spans="1:129" s="5" customFormat="1" ht="261" x14ac:dyDescent="0.35">
      <c r="A16" s="69" t="str">
        <f>HYPERLINK("https://www.grants.gov/view-opportunity.html?oppId=315517","W911NF-19-S-0004")</f>
        <v>W911NF-19-S-0004</v>
      </c>
      <c r="B16" s="69" t="s">
        <v>63</v>
      </c>
      <c r="C16" s="69" t="s">
        <v>37</v>
      </c>
      <c r="D16" s="69" t="s">
        <v>38</v>
      </c>
      <c r="E16" s="76">
        <v>45413</v>
      </c>
      <c r="F16" s="76"/>
      <c r="G16" s="72"/>
      <c r="H16" s="72">
        <v>1000</v>
      </c>
      <c r="I16" s="73"/>
      <c r="J16" s="69" t="s">
        <v>64</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row>
    <row r="17" spans="1:129" s="5" customFormat="1" ht="409.5" x14ac:dyDescent="0.35">
      <c r="A17" s="13" t="str">
        <f>HYPERLINK("https://grants.gov/search-results-detail/351504","W911NF24S0005")</f>
        <v>W911NF24S0005</v>
      </c>
      <c r="B17" s="13" t="s">
        <v>386</v>
      </c>
      <c r="C17" s="13" t="s">
        <v>37</v>
      </c>
      <c r="D17" s="13" t="s">
        <v>38</v>
      </c>
      <c r="E17" s="13" t="s">
        <v>387</v>
      </c>
      <c r="F17" s="13" t="s">
        <v>379</v>
      </c>
      <c r="G17" s="13" t="s">
        <v>379</v>
      </c>
      <c r="H17" s="13">
        <v>1000</v>
      </c>
      <c r="I17" s="13" t="s">
        <v>388</v>
      </c>
      <c r="J17" s="13" t="s">
        <v>389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29" s="5" customFormat="1" ht="409.5" x14ac:dyDescent="0.35">
      <c r="A18" s="69" t="str">
        <f>HYPERLINK("https://www.grants.gov/view-opportunity.html?oppId=324439","W911NF20S0003")</f>
        <v>W911NF20S0003</v>
      </c>
      <c r="B18" s="69" t="s">
        <v>65</v>
      </c>
      <c r="C18" s="69" t="s">
        <v>37</v>
      </c>
      <c r="D18" s="69" t="s">
        <v>38</v>
      </c>
      <c r="E18" s="76">
        <v>45707</v>
      </c>
      <c r="F18" s="76"/>
      <c r="G18" s="72"/>
      <c r="H18" s="72"/>
      <c r="I18" s="73"/>
      <c r="J18" s="69" t="s">
        <v>66</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row>
    <row r="19" spans="1:129" s="5" customFormat="1" ht="409.5" x14ac:dyDescent="0.35">
      <c r="A19" s="69" t="str">
        <f>HYPERLINK("https://www.grants.gov/view-opportunity.html?oppId=325932","W911NF-20-S-0008")</f>
        <v>W911NF-20-S-0008</v>
      </c>
      <c r="B19" s="69" t="s">
        <v>67</v>
      </c>
      <c r="C19" s="69" t="s">
        <v>37</v>
      </c>
      <c r="D19" s="69" t="s">
        <v>38</v>
      </c>
      <c r="E19" s="76">
        <v>45747</v>
      </c>
      <c r="F19" s="76"/>
      <c r="G19" s="72"/>
      <c r="H19" s="72"/>
      <c r="I19" s="73"/>
      <c r="J19" s="69" t="s">
        <v>68</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row>
    <row r="20" spans="1:129" s="5" customFormat="1" ht="409.5" x14ac:dyDescent="0.35">
      <c r="A20" s="82" t="str">
        <f>HYPERLINK("https://www.grants.gov/view-opportunity.html?oppId=332894","W911NF21S0009")</f>
        <v>W911NF21S0009</v>
      </c>
      <c r="B20" s="69" t="s">
        <v>69</v>
      </c>
      <c r="C20" s="69" t="s">
        <v>37</v>
      </c>
      <c r="D20" s="69" t="s">
        <v>38</v>
      </c>
      <c r="E20" s="76">
        <v>46142</v>
      </c>
      <c r="F20" s="76"/>
      <c r="G20" s="72"/>
      <c r="H20" s="72"/>
      <c r="I20" s="73"/>
      <c r="J20" s="69" t="s">
        <v>70</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row>
    <row r="21" spans="1:129" s="5" customFormat="1" ht="145" x14ac:dyDescent="0.35">
      <c r="A21" s="13" t="str">
        <f>HYPERLINK("https://www.grants.gov/view-opportunity.html?oppId=344592","W911NF-23-S-0001")</f>
        <v>W911NF-23-S-0001</v>
      </c>
      <c r="B21" s="13" t="s">
        <v>150</v>
      </c>
      <c r="C21" s="12" t="s">
        <v>37</v>
      </c>
      <c r="D21" s="13" t="s">
        <v>38</v>
      </c>
      <c r="E21" s="34" t="s">
        <v>151</v>
      </c>
      <c r="F21" s="12" t="s">
        <v>17</v>
      </c>
      <c r="G21" s="12" t="s">
        <v>17</v>
      </c>
      <c r="H21" s="12">
        <v>2000</v>
      </c>
      <c r="I21" s="13" t="s">
        <v>152</v>
      </c>
      <c r="J21" s="13" t="s">
        <v>153</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row>
    <row r="22" spans="1:129" s="13" customFormat="1" ht="130.5" x14ac:dyDescent="0.35">
      <c r="A22" s="12" t="str">
        <f>HYPERLINK("https://www.grants.gov/view-opportunity.html?oppId=345241","W911NF-23-S-0003")</f>
        <v>W911NF-23-S-0003</v>
      </c>
      <c r="B22" s="13" t="s">
        <v>158</v>
      </c>
      <c r="C22" s="12" t="s">
        <v>37</v>
      </c>
      <c r="D22" s="13" t="s">
        <v>38</v>
      </c>
      <c r="E22" s="34" t="s">
        <v>159</v>
      </c>
      <c r="F22" s="12" t="s">
        <v>17</v>
      </c>
      <c r="G22" s="12" t="s">
        <v>17</v>
      </c>
      <c r="H22" s="12">
        <v>1000</v>
      </c>
      <c r="I22" s="13" t="s">
        <v>160</v>
      </c>
      <c r="J22" s="13" t="s">
        <v>161</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row>
    <row r="23" spans="1:129" s="13" customFormat="1" ht="290" x14ac:dyDescent="0.35">
      <c r="A23" s="12" t="str">
        <f>HYPERLINK("https://www.grants.gov/view-opportunity.html?oppId=347858","W911NF-23-S-0010")</f>
        <v>W911NF-23-S-0010</v>
      </c>
      <c r="B23" s="13" t="s">
        <v>197</v>
      </c>
      <c r="C23" s="12" t="s">
        <v>37</v>
      </c>
      <c r="D23" s="13" t="s">
        <v>38</v>
      </c>
      <c r="E23" s="34" t="s">
        <v>198</v>
      </c>
      <c r="F23" s="12" t="s">
        <v>17</v>
      </c>
      <c r="G23" s="12" t="s">
        <v>17</v>
      </c>
      <c r="H23" s="12">
        <v>1000</v>
      </c>
      <c r="I23" s="13" t="s">
        <v>199</v>
      </c>
      <c r="J23" s="13" t="s">
        <v>200</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row>
    <row r="24" spans="1:129" s="13" customFormat="1" ht="246.5" x14ac:dyDescent="0.35">
      <c r="A24" s="69" t="str">
        <f>HYPERLINK("https://www.grants.gov/view-opportunity.html?oppId=310010","W911NF-19-S-0001")</f>
        <v>W911NF-19-S-0001</v>
      </c>
      <c r="B24" s="69" t="s">
        <v>71</v>
      </c>
      <c r="C24" s="69" t="s">
        <v>37</v>
      </c>
      <c r="D24" s="69" t="s">
        <v>38</v>
      </c>
      <c r="E24" s="76"/>
      <c r="F24" s="72"/>
      <c r="G24" s="72"/>
      <c r="H24" s="72"/>
      <c r="I24" s="73"/>
      <c r="J24" s="69" t="s">
        <v>72</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row>
    <row r="25" spans="1:129" s="13" customFormat="1" ht="409.5" x14ac:dyDescent="0.35">
      <c r="A25" s="5" t="str">
        <f>HYPERLINK("https://grants.gov/search-results-detail/353204","HT942524VRPMCRA")</f>
        <v>HT942524VRPMCRA</v>
      </c>
      <c r="B25" s="5" t="s">
        <v>619</v>
      </c>
      <c r="C25" s="5" t="s">
        <v>135</v>
      </c>
      <c r="D25" s="5" t="s">
        <v>134</v>
      </c>
      <c r="E25" s="66">
        <v>45527</v>
      </c>
      <c r="F25" s="43"/>
      <c r="G25" s="43"/>
      <c r="H25" s="5">
        <v>3</v>
      </c>
      <c r="I25" s="5" t="s">
        <v>385</v>
      </c>
      <c r="J25" s="5" t="s">
        <v>620</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row>
    <row r="26" spans="1:129" s="13" customFormat="1" ht="87" x14ac:dyDescent="0.35">
      <c r="A26" s="12" t="str">
        <f>HYPERLINK("https://www.grants.gov/view-opportunity.html?oppId=343653","W81XWH-22-DHAPP")</f>
        <v>W81XWH-22-DHAPP</v>
      </c>
      <c r="B26" s="13" t="s">
        <v>136</v>
      </c>
      <c r="C26" s="13" t="s">
        <v>135</v>
      </c>
      <c r="D26" s="13" t="s">
        <v>134</v>
      </c>
      <c r="E26" s="34" t="s">
        <v>133</v>
      </c>
      <c r="F26" s="12" t="s">
        <v>17</v>
      </c>
      <c r="G26" s="12" t="s">
        <v>17</v>
      </c>
      <c r="H26" s="12">
        <v>15</v>
      </c>
      <c r="I26" s="13" t="s">
        <v>127</v>
      </c>
      <c r="J26" s="13" t="s">
        <v>132</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row>
    <row r="27" spans="1:129" s="13" customFormat="1" ht="145" x14ac:dyDescent="0.35">
      <c r="A27" s="12" t="str">
        <f>HYPERLINK("https://www.grants.gov/view-opportunity.html?oppId=343725","HT9425-23-S-BAA1")</f>
        <v>HT9425-23-S-BAA1</v>
      </c>
      <c r="B27" s="13" t="s">
        <v>139</v>
      </c>
      <c r="C27" s="13" t="s">
        <v>135</v>
      </c>
      <c r="D27" s="13" t="s">
        <v>134</v>
      </c>
      <c r="E27" s="34" t="s">
        <v>138</v>
      </c>
      <c r="F27" s="12" t="s">
        <v>17</v>
      </c>
      <c r="G27" s="12" t="s">
        <v>17</v>
      </c>
      <c r="H27" s="12"/>
      <c r="I27" s="13" t="s">
        <v>127</v>
      </c>
      <c r="J27" s="13" t="s">
        <v>137</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row>
    <row r="28" spans="1:129" s="13" customFormat="1" ht="145" x14ac:dyDescent="0.35">
      <c r="A28" s="5" t="str">
        <f>HYPERLINK("https://grants.gov/search-results-detail/353362","HR001124S0024")</f>
        <v>HR001124S0024</v>
      </c>
      <c r="B28" s="5" t="s">
        <v>621</v>
      </c>
      <c r="C28" s="5" t="s">
        <v>201</v>
      </c>
      <c r="D28" s="5" t="s">
        <v>202</v>
      </c>
      <c r="E28" s="66">
        <v>45447</v>
      </c>
      <c r="F28" s="43"/>
      <c r="G28" s="43"/>
      <c r="H28" s="5"/>
      <c r="I28" s="5" t="s">
        <v>509</v>
      </c>
      <c r="J28" s="5" t="s">
        <v>622</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row>
    <row r="29" spans="1:129" s="13" customFormat="1" ht="72.5" x14ac:dyDescent="0.35">
      <c r="A29" s="12" t="str">
        <f>HYPERLINK("https://www.grants.gov/view-opportunity.html?oppId=348869","HR001123S0045")</f>
        <v>HR001123S0045</v>
      </c>
      <c r="B29" s="13" t="s">
        <v>217</v>
      </c>
      <c r="C29" s="12" t="s">
        <v>201</v>
      </c>
      <c r="D29" s="13" t="s">
        <v>202</v>
      </c>
      <c r="E29" s="34" t="s">
        <v>218</v>
      </c>
      <c r="F29" s="12" t="s">
        <v>17</v>
      </c>
      <c r="G29" s="12" t="s">
        <v>17</v>
      </c>
      <c r="H29" s="12"/>
      <c r="I29" s="13" t="s">
        <v>116</v>
      </c>
      <c r="J29" s="13" t="s">
        <v>219</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row>
    <row r="30" spans="1:129" s="13" customFormat="1" ht="188.5" x14ac:dyDescent="0.35">
      <c r="A30" s="13" t="str">
        <f>HYPERLINK("https://www.grants.gov/view-opportunity.html?oppId=350355","HR001123S0053")</f>
        <v>HR001123S0053</v>
      </c>
      <c r="B30" s="13" t="s">
        <v>276</v>
      </c>
      <c r="C30" s="13" t="s">
        <v>262</v>
      </c>
      <c r="D30" s="13" t="s">
        <v>263</v>
      </c>
      <c r="E30" s="31" t="s">
        <v>277</v>
      </c>
      <c r="F30" s="13" t="s">
        <v>17</v>
      </c>
      <c r="G30" s="13" t="s">
        <v>17</v>
      </c>
      <c r="I30" s="13" t="s">
        <v>116</v>
      </c>
      <c r="J30" s="13" t="s">
        <v>278</v>
      </c>
    </row>
    <row r="31" spans="1:129" s="13" customFormat="1" ht="58" x14ac:dyDescent="0.35">
      <c r="A31" s="13" t="str">
        <f>HYPERLINK("https://grants.gov/search-results-detail/352745","HR001124S0013")</f>
        <v>HR001124S0013</v>
      </c>
      <c r="B31" s="13" t="s">
        <v>508</v>
      </c>
      <c r="C31" s="13" t="s">
        <v>73</v>
      </c>
      <c r="D31" s="13" t="s">
        <v>74</v>
      </c>
      <c r="E31" s="31">
        <v>45529</v>
      </c>
      <c r="I31" s="13" t="s">
        <v>509</v>
      </c>
      <c r="J31" s="13" t="s">
        <v>510</v>
      </c>
    </row>
    <row r="32" spans="1:129" s="13" customFormat="1" ht="101.5" x14ac:dyDescent="0.35">
      <c r="A32" s="13" t="str">
        <f>HYPERLINK("https://grants.gov/search-results-detail/350766","HR001124S0003")</f>
        <v>HR001124S0003</v>
      </c>
      <c r="B32" s="13" t="s">
        <v>141</v>
      </c>
      <c r="C32" s="13" t="s">
        <v>73</v>
      </c>
      <c r="D32" s="13" t="s">
        <v>74</v>
      </c>
      <c r="E32" s="31">
        <v>45594</v>
      </c>
      <c r="G32" s="30"/>
      <c r="H32" s="30"/>
      <c r="I32" s="13" t="s">
        <v>309</v>
      </c>
      <c r="J32" s="13" t="s">
        <v>142</v>
      </c>
    </row>
    <row r="33" spans="1:129" s="13" customFormat="1" ht="101.5" x14ac:dyDescent="0.35">
      <c r="A33" s="13" t="str">
        <f>HYPERLINK("https://grants.gov/search-results-detail/350766","HR001124S0003")</f>
        <v>HR001124S0003</v>
      </c>
      <c r="B33" s="13" t="s">
        <v>141</v>
      </c>
      <c r="C33" s="13" t="s">
        <v>73</v>
      </c>
      <c r="D33" s="13" t="s">
        <v>74</v>
      </c>
      <c r="E33" s="31">
        <v>45594</v>
      </c>
      <c r="G33" s="30"/>
      <c r="H33" s="30"/>
      <c r="I33" s="13" t="s">
        <v>309</v>
      </c>
      <c r="J33" s="13" t="s">
        <v>142</v>
      </c>
    </row>
    <row r="34" spans="1:129" s="13" customFormat="1" ht="72.5" x14ac:dyDescent="0.35">
      <c r="A34" s="13" t="str">
        <f>HYPERLINK("https://grants.gov/search-results-detail/350593","HR001124S0002")</f>
        <v>HR001124S0002</v>
      </c>
      <c r="B34" s="13" t="s">
        <v>307</v>
      </c>
      <c r="C34" s="13" t="s">
        <v>73</v>
      </c>
      <c r="D34" s="13" t="s">
        <v>74</v>
      </c>
      <c r="E34" s="31" t="s">
        <v>308</v>
      </c>
      <c r="G34" s="30"/>
      <c r="H34" s="30"/>
      <c r="I34" s="13" t="s">
        <v>309</v>
      </c>
      <c r="J34" s="13" t="s">
        <v>310</v>
      </c>
    </row>
    <row r="35" spans="1:129" s="13" customFormat="1" ht="130.5" x14ac:dyDescent="0.35">
      <c r="A35" s="13" t="str">
        <f>HYPERLINK("https://grants.gov/search-results-detail/352870","HR001124S0019")</f>
        <v>HR001124S0019</v>
      </c>
      <c r="B35" s="13" t="s">
        <v>511</v>
      </c>
      <c r="C35" s="13" t="s">
        <v>75</v>
      </c>
      <c r="D35" s="13" t="s">
        <v>76</v>
      </c>
      <c r="E35" s="31">
        <v>45418</v>
      </c>
      <c r="I35" s="13" t="s">
        <v>509</v>
      </c>
      <c r="J35" s="13" t="s">
        <v>512</v>
      </c>
    </row>
    <row r="36" spans="1:129" s="13" customFormat="1" ht="145" x14ac:dyDescent="0.35">
      <c r="A36" s="13" t="str">
        <f>HYPERLINK("https://www.grants.gov/view-opportunity.html?oppId=349816","DARPA-RA-23-02")</f>
        <v>DARPA-RA-23-02</v>
      </c>
      <c r="B36" s="13" t="s">
        <v>264</v>
      </c>
      <c r="C36" s="13" t="s">
        <v>75</v>
      </c>
      <c r="D36" s="13" t="s">
        <v>76</v>
      </c>
      <c r="E36" s="31" t="s">
        <v>265</v>
      </c>
      <c r="F36" s="13" t="s">
        <v>17</v>
      </c>
      <c r="G36" s="13" t="s">
        <v>17</v>
      </c>
      <c r="I36" s="13" t="s">
        <v>116</v>
      </c>
      <c r="J36" s="13" t="s">
        <v>266</v>
      </c>
    </row>
    <row r="37" spans="1:129" s="13" customFormat="1" ht="319" x14ac:dyDescent="0.35">
      <c r="A37" s="13" t="str">
        <f>HYPERLINK("https://grants.gov/search-results-detail/350817","HR001124S0001")</f>
        <v>HR001124S0001</v>
      </c>
      <c r="B37" s="13" t="s">
        <v>143</v>
      </c>
      <c r="C37" s="13" t="s">
        <v>144</v>
      </c>
      <c r="D37" s="13" t="s">
        <v>145</v>
      </c>
      <c r="E37" s="31">
        <v>45596</v>
      </c>
      <c r="G37" s="30"/>
      <c r="H37" s="30"/>
      <c r="I37" s="13" t="s">
        <v>309</v>
      </c>
      <c r="J37" s="13" t="s">
        <v>311</v>
      </c>
    </row>
    <row r="38" spans="1:129" s="13" customFormat="1" ht="319" x14ac:dyDescent="0.35">
      <c r="A38" s="13" t="str">
        <f>HYPERLINK("https://grants.gov/search-results-detail/350817","HR001124S0001")</f>
        <v>HR001124S0001</v>
      </c>
      <c r="B38" s="13" t="s">
        <v>143</v>
      </c>
      <c r="C38" s="13" t="s">
        <v>144</v>
      </c>
      <c r="D38" s="13" t="s">
        <v>145</v>
      </c>
      <c r="E38" s="31">
        <v>45596</v>
      </c>
      <c r="G38" s="30"/>
      <c r="H38" s="30"/>
      <c r="I38" s="13" t="s">
        <v>309</v>
      </c>
      <c r="J38" s="13" t="s">
        <v>311</v>
      </c>
    </row>
    <row r="39" spans="1:129" s="13" customFormat="1" ht="87" x14ac:dyDescent="0.35">
      <c r="A39" s="12" t="str">
        <f>HYPERLINK("https://www.grants.gov/view-opportunity.html?oppId=348781","HR001123S0042")</f>
        <v>HR001123S0042</v>
      </c>
      <c r="B39" s="13" t="s">
        <v>220</v>
      </c>
      <c r="C39" s="12" t="s">
        <v>221</v>
      </c>
      <c r="D39" s="13" t="s">
        <v>222</v>
      </c>
      <c r="E39" s="34" t="s">
        <v>223</v>
      </c>
      <c r="F39" s="12" t="s">
        <v>17</v>
      </c>
      <c r="G39" s="12" t="s">
        <v>17</v>
      </c>
      <c r="H39" s="12"/>
      <c r="I39" s="13" t="s">
        <v>116</v>
      </c>
      <c r="J39" s="13" t="s">
        <v>224</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row>
    <row r="40" spans="1:129" ht="409.5" x14ac:dyDescent="0.35">
      <c r="A40" s="13" t="str">
        <f>HYPERLINK("https://grants.gov/search-results-detail/351404","HM047623BAA0001")</f>
        <v>HM047623BAA0001</v>
      </c>
      <c r="B40" s="13" t="s">
        <v>390</v>
      </c>
      <c r="C40" s="13" t="s">
        <v>391</v>
      </c>
      <c r="D40" s="13" t="s">
        <v>392</v>
      </c>
      <c r="E40" s="13" t="s">
        <v>393</v>
      </c>
      <c r="F40" s="13" t="s">
        <v>379</v>
      </c>
      <c r="G40" s="13" t="s">
        <v>379</v>
      </c>
      <c r="H40" s="13"/>
      <c r="I40" s="13" t="s">
        <v>394</v>
      </c>
      <c r="J40" s="13" t="s">
        <v>395</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row>
    <row r="41" spans="1:129" ht="409.5" x14ac:dyDescent="0.35">
      <c r="A41" s="5" t="str">
        <f>HYPERLINK("https://grants.gov/search-results-detail/353296","N0001424SB002")</f>
        <v>N0001424SB002</v>
      </c>
      <c r="B41" s="5" t="s">
        <v>623</v>
      </c>
      <c r="C41" s="5" t="s">
        <v>454</v>
      </c>
      <c r="D41" s="5" t="s">
        <v>455</v>
      </c>
      <c r="E41" s="66">
        <v>45747</v>
      </c>
      <c r="F41" s="43"/>
      <c r="G41" s="43"/>
      <c r="H41" s="5"/>
      <c r="I41" s="5" t="s">
        <v>624</v>
      </c>
      <c r="J41" s="5" t="s">
        <v>625</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row>
    <row r="42" spans="1:129" ht="409.5" x14ac:dyDescent="0.35">
      <c r="A42" s="5" t="str">
        <f>HYPERLINK("https://grants.gov/search-results-detail/353447","N0001424SF005")</f>
        <v>N0001424SF005</v>
      </c>
      <c r="B42" s="5" t="s">
        <v>626</v>
      </c>
      <c r="C42" s="5" t="s">
        <v>454</v>
      </c>
      <c r="D42" s="5" t="s">
        <v>455</v>
      </c>
      <c r="E42" s="66">
        <v>45751</v>
      </c>
      <c r="F42" s="43"/>
      <c r="G42" s="43"/>
      <c r="H42" s="5"/>
      <c r="I42" s="5" t="s">
        <v>627</v>
      </c>
      <c r="J42" s="5" t="s">
        <v>628</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row>
    <row r="43" spans="1:129" ht="72.5" x14ac:dyDescent="0.35">
      <c r="A43" s="12" t="str">
        <f>HYPERLINK("https://www.grants.gov/view-opportunity.html?oppId=348910","N00421-23-S-0001")</f>
        <v>N00421-23-S-0001</v>
      </c>
      <c r="B43" s="13" t="s">
        <v>225</v>
      </c>
      <c r="C43" s="12" t="s">
        <v>226</v>
      </c>
      <c r="D43" s="13" t="s">
        <v>227</v>
      </c>
      <c r="E43" s="34" t="s">
        <v>228</v>
      </c>
      <c r="F43" s="12" t="s">
        <v>17</v>
      </c>
      <c r="G43" s="12" t="s">
        <v>17</v>
      </c>
      <c r="I43" s="13" t="s">
        <v>127</v>
      </c>
      <c r="J43" s="13" t="s">
        <v>229</v>
      </c>
    </row>
    <row r="44" spans="1:129" ht="116" x14ac:dyDescent="0.35">
      <c r="A44" s="12" t="str">
        <f>HYPERLINK("https://www.grants.gov/view-opportunity.html?oppId=348612","N66001-23-S-4702")</f>
        <v>N66001-23-S-4702</v>
      </c>
      <c r="B44" s="13" t="s">
        <v>230</v>
      </c>
      <c r="C44" s="12" t="s">
        <v>231</v>
      </c>
      <c r="D44" s="13" t="s">
        <v>232</v>
      </c>
      <c r="E44" s="34" t="s">
        <v>233</v>
      </c>
      <c r="F44" s="12" t="s">
        <v>102</v>
      </c>
      <c r="G44" s="12" t="s">
        <v>102</v>
      </c>
      <c r="I44" s="13" t="s">
        <v>234</v>
      </c>
      <c r="J44" s="13" t="s">
        <v>235</v>
      </c>
    </row>
    <row r="45" spans="1:129" ht="409.5" x14ac:dyDescent="0.35">
      <c r="A45" s="13" t="str">
        <f>HYPERLINK("https://grants.gov/search-results-detail/352741","N00173-24-S-BA01")</f>
        <v>N00173-24-S-BA01</v>
      </c>
      <c r="B45" s="13" t="s">
        <v>513</v>
      </c>
      <c r="C45" s="13" t="s">
        <v>514</v>
      </c>
      <c r="D45" s="13" t="s">
        <v>515</v>
      </c>
      <c r="E45" s="31">
        <v>45657</v>
      </c>
      <c r="F45" s="13"/>
      <c r="G45" s="13"/>
      <c r="H45" s="13"/>
      <c r="I45" s="13" t="s">
        <v>385</v>
      </c>
      <c r="J45" s="13" t="s">
        <v>516</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row>
    <row r="46" spans="1:129" ht="409.5" x14ac:dyDescent="0.35">
      <c r="A46" s="13" t="str">
        <f>HYPERLINK("https://grants.gov/search-results-detail/352238","N0016424SNB35")</f>
        <v>N0016424SNB35</v>
      </c>
      <c r="B46" s="13" t="s">
        <v>413</v>
      </c>
      <c r="C46" s="13" t="s">
        <v>414</v>
      </c>
      <c r="D46" s="13" t="s">
        <v>415</v>
      </c>
      <c r="E46" s="13" t="s">
        <v>416</v>
      </c>
      <c r="F46" s="13"/>
      <c r="G46" s="13"/>
      <c r="H46" s="13"/>
      <c r="I46" s="13" t="s">
        <v>385</v>
      </c>
      <c r="J46" s="13" t="s">
        <v>417</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row>
    <row r="47" spans="1:129" ht="43.5" x14ac:dyDescent="0.35">
      <c r="A47" s="83" t="s">
        <v>77</v>
      </c>
      <c r="B47" s="69" t="s">
        <v>78</v>
      </c>
      <c r="C47" s="69" t="s">
        <v>79</v>
      </c>
      <c r="D47" s="69" t="s">
        <v>80</v>
      </c>
      <c r="E47" s="84">
        <v>46035</v>
      </c>
      <c r="F47" s="85">
        <v>0</v>
      </c>
      <c r="G47" s="85">
        <v>0</v>
      </c>
      <c r="H47" s="75">
        <v>40</v>
      </c>
      <c r="I47" s="73"/>
      <c r="J47" s="73" t="s">
        <v>81</v>
      </c>
    </row>
    <row r="48" spans="1:129" ht="101.5" x14ac:dyDescent="0.35">
      <c r="A48" s="86" t="str">
        <f>HYPERLINK("https://www.grants.gov/view-opportunity.html?oppId=280932","DE-SOL-0008246")</f>
        <v>DE-SOL-0008246</v>
      </c>
      <c r="B48" s="69" t="s">
        <v>82</v>
      </c>
      <c r="C48" s="69" t="s">
        <v>39</v>
      </c>
      <c r="D48" s="69" t="s">
        <v>40</v>
      </c>
      <c r="E48" s="76"/>
      <c r="F48" s="72"/>
      <c r="G48" s="72"/>
      <c r="H48" s="72">
        <v>0</v>
      </c>
      <c r="I48" s="73"/>
      <c r="J48" s="69" t="s">
        <v>83</v>
      </c>
    </row>
    <row r="49" spans="1:129" ht="159.5" x14ac:dyDescent="0.35">
      <c r="A49" s="13" t="str">
        <f>HYPERLINK("https://grants.gov/search-results-detail/351330","DE-FOA-0003232")</f>
        <v>DE-FOA-0003232</v>
      </c>
      <c r="B49" s="13" t="s">
        <v>363</v>
      </c>
      <c r="C49" s="13" t="s">
        <v>114</v>
      </c>
      <c r="D49" s="13" t="s">
        <v>115</v>
      </c>
      <c r="E49" s="13" t="s">
        <v>312</v>
      </c>
      <c r="F49" s="13"/>
      <c r="G49" s="13"/>
      <c r="H49" s="41"/>
      <c r="I49" s="13" t="s">
        <v>358</v>
      </c>
      <c r="J49" s="13" t="s">
        <v>364</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row>
    <row r="50" spans="1:129" ht="261" x14ac:dyDescent="0.35">
      <c r="A50" s="5" t="str">
        <f>HYPERLINK("https://grants.gov/search-results-detail/353002","G25AS00240")</f>
        <v>G25AS00240</v>
      </c>
      <c r="B50" s="5" t="s">
        <v>629</v>
      </c>
      <c r="C50" s="5" t="s">
        <v>292</v>
      </c>
      <c r="D50" s="5" t="s">
        <v>293</v>
      </c>
      <c r="E50" s="66">
        <v>45435</v>
      </c>
      <c r="F50" s="43">
        <v>0</v>
      </c>
      <c r="G50" s="43">
        <v>0</v>
      </c>
      <c r="H50" s="5"/>
      <c r="I50" s="5" t="s">
        <v>630</v>
      </c>
      <c r="J50" s="5" t="s">
        <v>631</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row>
    <row r="51" spans="1:129" ht="333.5" x14ac:dyDescent="0.35">
      <c r="A51" s="5" t="str">
        <f>HYPERLINK("https://grants.gov/search-results-detail/353341","FR-CRS-24-001")</f>
        <v>FR-CRS-24-001</v>
      </c>
      <c r="B51" s="5" t="s">
        <v>632</v>
      </c>
      <c r="C51" s="5" t="s">
        <v>633</v>
      </c>
      <c r="D51" s="5" t="s">
        <v>634</v>
      </c>
      <c r="E51" s="66">
        <v>45440</v>
      </c>
      <c r="F51" s="43">
        <v>2385440210</v>
      </c>
      <c r="G51" s="43">
        <v>0</v>
      </c>
      <c r="H51" s="5">
        <v>150</v>
      </c>
      <c r="I51" s="5" t="s">
        <v>635</v>
      </c>
      <c r="J51" s="5" t="s">
        <v>636</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row>
    <row r="52" spans="1:129" ht="409.5" x14ac:dyDescent="0.35">
      <c r="A52" s="5" t="str">
        <f>HYPERLINK("https://grants.gov/search-results-detail/353411","ED-GRANTS-040924-001")</f>
        <v>ED-GRANTS-040924-001</v>
      </c>
      <c r="B52" s="5" t="s">
        <v>637</v>
      </c>
      <c r="C52" s="5" t="s">
        <v>294</v>
      </c>
      <c r="D52" s="5" t="s">
        <v>295</v>
      </c>
      <c r="E52" s="66">
        <v>45481</v>
      </c>
      <c r="F52" s="43"/>
      <c r="G52" s="43"/>
      <c r="H52" s="5">
        <v>29</v>
      </c>
      <c r="I52" s="5" t="s">
        <v>638</v>
      </c>
      <c r="J52" s="5" t="s">
        <v>639</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row>
    <row r="53" spans="1:129" ht="87" x14ac:dyDescent="0.35">
      <c r="A53" s="75" t="str">
        <f>HYPERLINK("https://www.grants.gov/view-opportunity.html?oppId=335156","PA-22-050")</f>
        <v>PA-22-050</v>
      </c>
      <c r="B53" s="69" t="s">
        <v>84</v>
      </c>
      <c r="C53" s="69" t="s">
        <v>85</v>
      </c>
      <c r="D53" s="69" t="s">
        <v>86</v>
      </c>
      <c r="E53" s="84">
        <v>45728</v>
      </c>
      <c r="F53" s="87" t="s">
        <v>17</v>
      </c>
      <c r="G53" s="87" t="s">
        <v>17</v>
      </c>
      <c r="H53" s="75"/>
      <c r="I53" s="73"/>
      <c r="J53" s="73" t="s">
        <v>87</v>
      </c>
    </row>
    <row r="54" spans="1:129" ht="87" x14ac:dyDescent="0.35">
      <c r="A54" s="75" t="str">
        <f>HYPERLINK("https://www.grants.gov/view-opportunity.html?oppId=335151","PA-22-049")</f>
        <v>PA-22-049</v>
      </c>
      <c r="B54" s="69" t="s">
        <v>88</v>
      </c>
      <c r="C54" s="69" t="s">
        <v>85</v>
      </c>
      <c r="D54" s="69" t="s">
        <v>86</v>
      </c>
      <c r="E54" s="84">
        <v>45728</v>
      </c>
      <c r="F54" s="87" t="s">
        <v>17</v>
      </c>
      <c r="G54" s="87" t="s">
        <v>17</v>
      </c>
      <c r="H54" s="75"/>
      <c r="I54" s="73"/>
      <c r="J54" s="73" t="s">
        <v>89</v>
      </c>
    </row>
    <row r="55" spans="1:129" ht="87" x14ac:dyDescent="0.35">
      <c r="A55" s="75" t="str">
        <f>HYPERLINK("https://www.grants.gov/view-opportunity.html?oppId=335143","PA-22-051")</f>
        <v>PA-22-051</v>
      </c>
      <c r="B55" s="69" t="s">
        <v>90</v>
      </c>
      <c r="C55" s="69" t="s">
        <v>85</v>
      </c>
      <c r="D55" s="69" t="s">
        <v>86</v>
      </c>
      <c r="E55" s="84">
        <v>45850</v>
      </c>
      <c r="F55" s="87" t="s">
        <v>17</v>
      </c>
      <c r="G55" s="87" t="s">
        <v>17</v>
      </c>
      <c r="H55" s="75"/>
      <c r="I55" s="73"/>
      <c r="J55" s="73" t="s">
        <v>91</v>
      </c>
    </row>
    <row r="56" spans="1:129" ht="72.5" x14ac:dyDescent="0.35">
      <c r="A56" s="75" t="str">
        <f>HYPERLINK("https://www.grants.gov/view-opportunity.html?oppId=336967","PAR-21-358")</f>
        <v>PAR-21-358</v>
      </c>
      <c r="B56" s="69" t="s">
        <v>92</v>
      </c>
      <c r="C56" s="69" t="s">
        <v>18</v>
      </c>
      <c r="D56" s="69" t="s">
        <v>19</v>
      </c>
      <c r="E56" s="84">
        <v>45784</v>
      </c>
      <c r="F56" s="87" t="s">
        <v>17</v>
      </c>
      <c r="G56" s="87" t="s">
        <v>17</v>
      </c>
      <c r="H56" s="75"/>
      <c r="I56" s="73"/>
      <c r="J56" s="73" t="s">
        <v>93</v>
      </c>
    </row>
    <row r="57" spans="1:129" ht="275.5" x14ac:dyDescent="0.35">
      <c r="A57" s="13" t="str">
        <f>HYPERLINK("https://grants.gov/search-results-detail/352699","NNH24ZEA001N-AAVP")</f>
        <v>NNH24ZEA001N-AAVP</v>
      </c>
      <c r="B57" s="13" t="s">
        <v>521</v>
      </c>
      <c r="C57" s="13" t="s">
        <v>48</v>
      </c>
      <c r="D57" s="13" t="s">
        <v>49</v>
      </c>
      <c r="E57" s="31">
        <v>45412</v>
      </c>
      <c r="F57" s="13"/>
      <c r="G57" s="13"/>
      <c r="H57" s="13">
        <v>4</v>
      </c>
      <c r="I57" s="13" t="s">
        <v>385</v>
      </c>
      <c r="J57" s="13" t="s">
        <v>522</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row>
    <row r="58" spans="1:129" ht="409.5" x14ac:dyDescent="0.35">
      <c r="A58" s="13" t="str">
        <f>HYPERLINK("https://grants.gov/search-results-detail/352715","NNH24ZEA001N-ULI")</f>
        <v>NNH24ZEA001N-ULI</v>
      </c>
      <c r="B58" s="13" t="s">
        <v>519</v>
      </c>
      <c r="C58" s="13" t="s">
        <v>48</v>
      </c>
      <c r="D58" s="13" t="s">
        <v>49</v>
      </c>
      <c r="E58" s="31">
        <v>45441</v>
      </c>
      <c r="F58" s="13"/>
      <c r="G58" s="13"/>
      <c r="H58" s="13"/>
      <c r="I58" s="13" t="s">
        <v>385</v>
      </c>
      <c r="J58" s="13" t="s">
        <v>520</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row>
    <row r="59" spans="1:129" ht="203" x14ac:dyDescent="0.35">
      <c r="A59" s="5" t="str">
        <f>HYPERLINK("https://grants.gov/search-results-detail/353435","NNH24ZEA001N-CST")</f>
        <v>NNH24ZEA001N-CST</v>
      </c>
      <c r="B59" s="5" t="s">
        <v>640</v>
      </c>
      <c r="C59" s="5" t="s">
        <v>48</v>
      </c>
      <c r="D59" s="5" t="s">
        <v>49</v>
      </c>
      <c r="E59" s="66">
        <v>45443</v>
      </c>
      <c r="F59" s="43"/>
      <c r="G59" s="43"/>
      <c r="H59" s="5">
        <v>1</v>
      </c>
      <c r="I59" s="5" t="s">
        <v>385</v>
      </c>
      <c r="J59" s="5" t="s">
        <v>641</v>
      </c>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row>
    <row r="60" spans="1:129" ht="409.5" x14ac:dyDescent="0.35">
      <c r="A60" s="5" t="str">
        <f>HYPERLINK("https://grants.gov/search-results-detail/353406","NNH24ZTR001N-24ESI-B2")</f>
        <v>NNH24ZTR001N-24ESI-B2</v>
      </c>
      <c r="B60" s="5" t="s">
        <v>642</v>
      </c>
      <c r="C60" s="5" t="s">
        <v>48</v>
      </c>
      <c r="D60" s="5" t="s">
        <v>49</v>
      </c>
      <c r="E60" s="66">
        <v>45449</v>
      </c>
      <c r="F60" s="43"/>
      <c r="G60" s="43"/>
      <c r="H60" s="5">
        <v>6</v>
      </c>
      <c r="I60" s="5" t="s">
        <v>643</v>
      </c>
      <c r="J60" s="5" t="s">
        <v>644</v>
      </c>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row>
    <row r="61" spans="1:129" ht="409.5" x14ac:dyDescent="0.35">
      <c r="A61" s="13" t="str">
        <f>HYPERLINK("https://grants.gov/search-results-detail/352756","NNH24ZDA001N-OSTFL")</f>
        <v>NNH24ZDA001N-OSTFL</v>
      </c>
      <c r="B61" s="13" t="s">
        <v>517</v>
      </c>
      <c r="C61" s="13" t="s">
        <v>48</v>
      </c>
      <c r="D61" s="13" t="s">
        <v>49</v>
      </c>
      <c r="E61" s="31">
        <v>45450</v>
      </c>
      <c r="F61" s="13"/>
      <c r="G61" s="13"/>
      <c r="H61" s="13"/>
      <c r="I61" s="13" t="s">
        <v>396</v>
      </c>
      <c r="J61" s="13" t="s">
        <v>518</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row>
    <row r="62" spans="1:129" ht="14" customHeight="1" x14ac:dyDescent="0.35">
      <c r="A62" s="5" t="str">
        <f>HYPERLINK("https://grants.gov/search-results-detail/353304","NNH24ZDA001N-EGIP")</f>
        <v>NNH24ZDA001N-EGIP</v>
      </c>
      <c r="B62" s="5" t="s">
        <v>645</v>
      </c>
      <c r="C62" s="5" t="s">
        <v>48</v>
      </c>
      <c r="D62" s="5" t="s">
        <v>49</v>
      </c>
      <c r="E62" s="66">
        <v>45526</v>
      </c>
      <c r="F62" s="43"/>
      <c r="G62" s="43"/>
      <c r="H62" s="5"/>
      <c r="I62" s="5" t="s">
        <v>396</v>
      </c>
      <c r="J62" s="5" t="s">
        <v>646</v>
      </c>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row>
    <row r="63" spans="1:129" ht="409.5" x14ac:dyDescent="0.35">
      <c r="A63" s="13" t="str">
        <f>HYPERLINK("https://grants.gov/search-results-detail/351441","NNH23ZDA001N-XGO")</f>
        <v>NNH23ZDA001N-XGO</v>
      </c>
      <c r="B63" s="13" t="s">
        <v>366</v>
      </c>
      <c r="C63" s="13" t="s">
        <v>48</v>
      </c>
      <c r="D63" s="13" t="s">
        <v>49</v>
      </c>
      <c r="E63" s="13" t="s">
        <v>360</v>
      </c>
      <c r="F63" s="13"/>
      <c r="G63" s="13"/>
      <c r="H63" s="41"/>
      <c r="I63" s="13" t="s">
        <v>365</v>
      </c>
      <c r="J63" s="13" t="s">
        <v>367</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row>
    <row r="64" spans="1:129" ht="348" x14ac:dyDescent="0.35">
      <c r="A64" s="13" t="str">
        <f>HYPERLINK("https://grants.gov/search-results-detail/351304","80MSFC24M0001")</f>
        <v>80MSFC24M0001</v>
      </c>
      <c r="B64" s="13" t="s">
        <v>368</v>
      </c>
      <c r="C64" s="13" t="s">
        <v>369</v>
      </c>
      <c r="D64" s="13" t="s">
        <v>370</v>
      </c>
      <c r="E64" s="13" t="s">
        <v>371</v>
      </c>
      <c r="F64" s="13"/>
      <c r="G64" s="13"/>
      <c r="H64" s="41">
        <v>15</v>
      </c>
      <c r="I64" s="13" t="s">
        <v>372</v>
      </c>
      <c r="J64" s="13" t="s">
        <v>373</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row>
    <row r="65" spans="1:129" ht="406" x14ac:dyDescent="0.35">
      <c r="A65" s="13" t="str">
        <f>HYPERLINK("https://grants.gov/search-results-detail/352175","24-536")</f>
        <v>24-536</v>
      </c>
      <c r="B65" s="13" t="s">
        <v>418</v>
      </c>
      <c r="C65" s="13" t="s">
        <v>10</v>
      </c>
      <c r="D65" s="13" t="s">
        <v>11</v>
      </c>
      <c r="E65" s="13" t="s">
        <v>419</v>
      </c>
      <c r="F65" s="13"/>
      <c r="G65" s="13"/>
      <c r="H65" s="13">
        <v>20</v>
      </c>
      <c r="I65" s="13" t="s">
        <v>420</v>
      </c>
      <c r="J65" s="13" t="s">
        <v>421</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row>
    <row r="66" spans="1:129" ht="409.5" x14ac:dyDescent="0.35">
      <c r="A66" s="13" t="str">
        <f>HYPERLINK("https://www.grants.gov/view-opportunity.html?oppId=350346","23-627")</f>
        <v>23-627</v>
      </c>
      <c r="B66" s="13" t="s">
        <v>279</v>
      </c>
      <c r="C66" s="13" t="s">
        <v>10</v>
      </c>
      <c r="D66" s="13" t="s">
        <v>11</v>
      </c>
      <c r="E66" s="31" t="s">
        <v>280</v>
      </c>
      <c r="F66" s="13" t="s">
        <v>17</v>
      </c>
      <c r="G66" s="13" t="s">
        <v>106</v>
      </c>
      <c r="H66" s="13"/>
      <c r="I66" s="13" t="s">
        <v>281</v>
      </c>
      <c r="J66" s="13" t="s">
        <v>282</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row>
    <row r="67" spans="1:129" ht="377" x14ac:dyDescent="0.35">
      <c r="A67" s="13" t="str">
        <f>HYPERLINK("https://grants.gov/search-results-detail/352289","24-538")</f>
        <v>24-538</v>
      </c>
      <c r="B67" s="13" t="s">
        <v>422</v>
      </c>
      <c r="C67" s="13" t="s">
        <v>10</v>
      </c>
      <c r="D67" s="13" t="s">
        <v>11</v>
      </c>
      <c r="E67" s="13" t="s">
        <v>423</v>
      </c>
      <c r="F67" s="13"/>
      <c r="G67" s="13"/>
      <c r="H67" s="13">
        <v>4</v>
      </c>
      <c r="I67" s="13" t="s">
        <v>424</v>
      </c>
      <c r="J67" s="13" t="s">
        <v>425</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row>
    <row r="68" spans="1:129" ht="409.5" x14ac:dyDescent="0.35">
      <c r="A68" s="13" t="str">
        <f>HYPERLINK("https://grants.gov/search-results-detail/352033","24-533")</f>
        <v>24-533</v>
      </c>
      <c r="B68" s="13" t="s">
        <v>426</v>
      </c>
      <c r="C68" s="13" t="s">
        <v>10</v>
      </c>
      <c r="D68" s="13" t="s">
        <v>11</v>
      </c>
      <c r="E68" s="13" t="s">
        <v>423</v>
      </c>
      <c r="F68" s="13"/>
      <c r="G68" s="13" t="s">
        <v>427</v>
      </c>
      <c r="H68" s="13">
        <v>2</v>
      </c>
      <c r="I68" s="13" t="s">
        <v>428</v>
      </c>
      <c r="J68" s="13" t="s">
        <v>429</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row>
    <row r="69" spans="1:129" ht="409.5" x14ac:dyDescent="0.35">
      <c r="A69" s="13" t="str">
        <f>HYPERLINK("https://grants.gov/search-results-detail/352873","PD-24-297Y")</f>
        <v>PD-24-297Y</v>
      </c>
      <c r="B69" s="13" t="s">
        <v>523</v>
      </c>
      <c r="C69" s="13" t="s">
        <v>10</v>
      </c>
      <c r="D69" s="13" t="s">
        <v>11</v>
      </c>
      <c r="E69" s="31">
        <v>45449</v>
      </c>
      <c r="F69" s="13"/>
      <c r="G69" s="13"/>
      <c r="H69" s="13"/>
      <c r="I69" s="13" t="s">
        <v>385</v>
      </c>
      <c r="J69" s="13" t="s">
        <v>524</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row>
    <row r="70" spans="1:129" ht="409.5" x14ac:dyDescent="0.35">
      <c r="A70" s="79" t="s">
        <v>283</v>
      </c>
      <c r="B70" s="79" t="s">
        <v>284</v>
      </c>
      <c r="C70" s="79" t="s">
        <v>10</v>
      </c>
      <c r="D70" s="79" t="s">
        <v>11</v>
      </c>
      <c r="E70" s="88">
        <v>45456</v>
      </c>
      <c r="F70" s="79"/>
      <c r="G70" s="79"/>
      <c r="H70" s="79"/>
      <c r="I70" s="79" t="s">
        <v>285</v>
      </c>
      <c r="J70" s="79" t="s">
        <v>286</v>
      </c>
      <c r="K70" s="79"/>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row>
    <row r="71" spans="1:129" ht="333.5" x14ac:dyDescent="0.35">
      <c r="A71" s="5" t="str">
        <f>HYPERLINK("https://grants.gov/search-results-detail/353134","24-559")</f>
        <v>24-559</v>
      </c>
      <c r="B71" s="5" t="s">
        <v>647</v>
      </c>
      <c r="C71" s="5" t="s">
        <v>10</v>
      </c>
      <c r="D71" s="5" t="s">
        <v>11</v>
      </c>
      <c r="E71" s="66">
        <v>45463</v>
      </c>
      <c r="F71" s="43"/>
      <c r="G71" s="43">
        <v>1500000</v>
      </c>
      <c r="H71" s="5">
        <v>10</v>
      </c>
      <c r="I71" s="5" t="s">
        <v>484</v>
      </c>
      <c r="J71" s="5" t="s">
        <v>648</v>
      </c>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row>
    <row r="72" spans="1:129" ht="217.5" x14ac:dyDescent="0.35">
      <c r="A72" s="5" t="str">
        <f>HYPERLINK("https://grants.gov/search-results-detail/353135","24-561")</f>
        <v>24-561</v>
      </c>
      <c r="B72" s="5" t="s">
        <v>649</v>
      </c>
      <c r="C72" s="5" t="s">
        <v>10</v>
      </c>
      <c r="D72" s="5" t="s">
        <v>11</v>
      </c>
      <c r="E72" s="66">
        <v>45464</v>
      </c>
      <c r="F72" s="43"/>
      <c r="G72" s="43"/>
      <c r="H72" s="5">
        <v>10</v>
      </c>
      <c r="I72" s="5" t="s">
        <v>650</v>
      </c>
      <c r="J72" s="5" t="s">
        <v>651</v>
      </c>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row>
    <row r="73" spans="1:129" ht="290" x14ac:dyDescent="0.35">
      <c r="A73" s="12" t="str">
        <f>HYPERLINK("https://www.grants.gov/view-opportunity.html?oppId=347023","23-564")</f>
        <v>23-564</v>
      </c>
      <c r="B73" s="13" t="s">
        <v>171</v>
      </c>
      <c r="C73" s="13" t="s">
        <v>10</v>
      </c>
      <c r="D73" s="13" t="s">
        <v>11</v>
      </c>
      <c r="E73" s="34" t="s">
        <v>172</v>
      </c>
      <c r="F73" s="12" t="s">
        <v>17</v>
      </c>
      <c r="G73" s="12" t="s">
        <v>17</v>
      </c>
      <c r="I73" s="13" t="s">
        <v>173</v>
      </c>
      <c r="J73" s="13" t="s">
        <v>174</v>
      </c>
    </row>
    <row r="74" spans="1:129" ht="409.5" x14ac:dyDescent="0.35">
      <c r="A74" s="13" t="str">
        <f>HYPERLINK("https://grants.gov/search-results-detail/352455","24-544")</f>
        <v>24-544</v>
      </c>
      <c r="B74" s="13" t="s">
        <v>529</v>
      </c>
      <c r="C74" s="13" t="s">
        <v>10</v>
      </c>
      <c r="D74" s="13" t="s">
        <v>11</v>
      </c>
      <c r="E74" s="31">
        <v>45503</v>
      </c>
      <c r="F74" s="13"/>
      <c r="G74" s="13"/>
      <c r="H74" s="13"/>
      <c r="I74" s="13" t="s">
        <v>530</v>
      </c>
      <c r="J74" s="13" t="s">
        <v>531</v>
      </c>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row>
    <row r="75" spans="1:129" ht="409.5" x14ac:dyDescent="0.35">
      <c r="A75" s="13" t="str">
        <f>HYPERLINK("https://grants.gov/search-results-detail/351715","PD-24-110Z")</f>
        <v>PD-24-110Z</v>
      </c>
      <c r="B75" s="13" t="s">
        <v>397</v>
      </c>
      <c r="C75" s="13" t="s">
        <v>10</v>
      </c>
      <c r="D75" s="13" t="s">
        <v>11</v>
      </c>
      <c r="E75" s="13" t="s">
        <v>398</v>
      </c>
      <c r="F75" s="13" t="s">
        <v>379</v>
      </c>
      <c r="G75" s="13" t="s">
        <v>379</v>
      </c>
      <c r="H75" s="13"/>
      <c r="I75" s="13" t="s">
        <v>399</v>
      </c>
      <c r="J75" s="13" t="s">
        <v>385</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row>
    <row r="76" spans="1:129" ht="217.5" x14ac:dyDescent="0.35">
      <c r="A76" s="5" t="str">
        <f>HYPERLINK("https://grants.gov/search-results-detail/353353","PD-18-1263")</f>
        <v>PD-18-1263</v>
      </c>
      <c r="B76" s="5" t="s">
        <v>652</v>
      </c>
      <c r="C76" s="5" t="s">
        <v>10</v>
      </c>
      <c r="D76" s="5" t="s">
        <v>11</v>
      </c>
      <c r="E76" s="66">
        <v>45552</v>
      </c>
      <c r="F76" s="43"/>
      <c r="G76" s="43"/>
      <c r="H76" s="5"/>
      <c r="I76" s="5" t="s">
        <v>385</v>
      </c>
      <c r="J76" s="5" t="s">
        <v>653</v>
      </c>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row>
    <row r="77" spans="1:129" ht="409.5" x14ac:dyDescent="0.35">
      <c r="A77" s="12" t="str">
        <f>HYPERLINK("https://www.grants.gov/view-opportunity.html?oppId=348375","23-595")</f>
        <v>23-595</v>
      </c>
      <c r="B77" s="13" t="s">
        <v>211</v>
      </c>
      <c r="C77" s="12" t="s">
        <v>10</v>
      </c>
      <c r="D77" s="13" t="s">
        <v>11</v>
      </c>
      <c r="E77" s="34" t="s">
        <v>212</v>
      </c>
      <c r="F77" s="12" t="s">
        <v>17</v>
      </c>
      <c r="G77" s="12" t="s">
        <v>17</v>
      </c>
      <c r="I77" s="13" t="s">
        <v>213</v>
      </c>
      <c r="J77" s="13" t="s">
        <v>214</v>
      </c>
    </row>
    <row r="78" spans="1:129" ht="409.5" x14ac:dyDescent="0.35">
      <c r="A78" s="13" t="str">
        <f>HYPERLINK("https://grants.gov/search-results-detail/351418","24-510")</f>
        <v>24-510</v>
      </c>
      <c r="B78" s="13" t="s">
        <v>374</v>
      </c>
      <c r="C78" s="13" t="s">
        <v>10</v>
      </c>
      <c r="D78" s="13" t="s">
        <v>11</v>
      </c>
      <c r="E78" s="13" t="s">
        <v>325</v>
      </c>
      <c r="F78" s="13"/>
      <c r="G78" s="13"/>
      <c r="H78" s="41">
        <v>30</v>
      </c>
      <c r="I78" s="13" t="s">
        <v>375</v>
      </c>
      <c r="J78" s="13" t="s">
        <v>376</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row>
    <row r="79" spans="1:129" ht="406" x14ac:dyDescent="0.35">
      <c r="A79" s="13" t="str">
        <f>HYPERLINK("https://grants.gov/search-results-detail/352499","24-546")</f>
        <v>24-546</v>
      </c>
      <c r="B79" s="13" t="s">
        <v>525</v>
      </c>
      <c r="C79" s="13" t="s">
        <v>10</v>
      </c>
      <c r="D79" s="13" t="s">
        <v>11</v>
      </c>
      <c r="E79" s="13"/>
      <c r="F79" s="13"/>
      <c r="G79" s="13"/>
      <c r="H79" s="13"/>
      <c r="I79" s="13" t="s">
        <v>487</v>
      </c>
      <c r="J79" s="13" t="s">
        <v>526</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row>
    <row r="80" spans="1:129" ht="275.5" x14ac:dyDescent="0.35">
      <c r="A80" s="13" t="str">
        <f>HYPERLINK("https://grants.gov/search-results-detail/352500","24-547")</f>
        <v>24-547</v>
      </c>
      <c r="B80" s="13" t="s">
        <v>527</v>
      </c>
      <c r="C80" s="13" t="s">
        <v>10</v>
      </c>
      <c r="D80" s="13" t="s">
        <v>11</v>
      </c>
      <c r="E80" s="13"/>
      <c r="F80" s="13"/>
      <c r="G80" s="13"/>
      <c r="H80" s="13">
        <v>20</v>
      </c>
      <c r="I80" s="13" t="s">
        <v>487</v>
      </c>
      <c r="J80" s="13" t="s">
        <v>528</v>
      </c>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row>
    <row r="81" spans="1:129" ht="409.5" x14ac:dyDescent="0.35">
      <c r="A81" s="13" t="str">
        <f>HYPERLINK("https://grants.gov/search-results-detail/351273","PD-19-058Y")</f>
        <v>PD-19-058Y</v>
      </c>
      <c r="B81" s="13" t="s">
        <v>377</v>
      </c>
      <c r="C81" s="13" t="s">
        <v>10</v>
      </c>
      <c r="D81" s="13" t="s">
        <v>11</v>
      </c>
      <c r="E81" s="13"/>
      <c r="F81" s="13"/>
      <c r="G81" s="13"/>
      <c r="H81" s="41"/>
      <c r="I81" s="13" t="s">
        <v>358</v>
      </c>
      <c r="J81" s="13" t="s">
        <v>378</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row>
    <row r="82" spans="1:129" ht="409.5" x14ac:dyDescent="0.35">
      <c r="A82" s="13" t="str">
        <f>HYPERLINK("https://www.grants.gov/view-opportunity.html?oppId=350369","23-628")</f>
        <v>23-628</v>
      </c>
      <c r="B82" s="13" t="s">
        <v>287</v>
      </c>
      <c r="C82" s="13" t="s">
        <v>10</v>
      </c>
      <c r="D82" s="13" t="s">
        <v>11</v>
      </c>
      <c r="E82" s="31"/>
      <c r="F82" s="13" t="s">
        <v>17</v>
      </c>
      <c r="G82" s="13" t="s">
        <v>104</v>
      </c>
      <c r="H82" s="13">
        <v>25</v>
      </c>
      <c r="I82" s="13" t="s">
        <v>288</v>
      </c>
      <c r="J82" s="13" t="s">
        <v>289</v>
      </c>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row>
    <row r="83" spans="1:129" ht="43.5" x14ac:dyDescent="0.35">
      <c r="A83" s="13" t="str">
        <f>HYPERLINK("https://www.grants.gov/view-opportunity.html?oppId=350230","PD-24-1340")</f>
        <v>PD-24-1340</v>
      </c>
      <c r="B83" s="13" t="s">
        <v>290</v>
      </c>
      <c r="C83" s="13" t="s">
        <v>10</v>
      </c>
      <c r="D83" s="13" t="s">
        <v>11</v>
      </c>
      <c r="E83" s="31"/>
      <c r="F83" s="13" t="s">
        <v>17</v>
      </c>
      <c r="G83" s="13" t="s">
        <v>17</v>
      </c>
      <c r="H83" s="13"/>
      <c r="I83" s="13" t="s">
        <v>127</v>
      </c>
      <c r="J83" s="13" t="s">
        <v>291</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row>
    <row r="84" spans="1:129" ht="409.5" x14ac:dyDescent="0.35">
      <c r="A84" s="19" t="str">
        <f>HYPERLINK("https://www.grants.gov/view-opportunity.html?oppId=327047","20-576")</f>
        <v>20-576</v>
      </c>
      <c r="B84" s="19" t="s">
        <v>94</v>
      </c>
      <c r="C84" s="19" t="s">
        <v>10</v>
      </c>
      <c r="D84" s="19" t="s">
        <v>11</v>
      </c>
      <c r="E84" s="89"/>
      <c r="F84" s="89"/>
      <c r="G84" s="90"/>
      <c r="H84" s="90">
        <v>30</v>
      </c>
      <c r="J84" s="19" t="s">
        <v>95</v>
      </c>
    </row>
    <row r="85" spans="1:129" ht="409.5" x14ac:dyDescent="0.35">
      <c r="A85" s="19" t="str">
        <f>HYPERLINK("https://www.grants.gov/view-opportunity.html?oppId=328175","20-582")</f>
        <v>20-582</v>
      </c>
      <c r="B85" s="19" t="s">
        <v>96</v>
      </c>
      <c r="C85" s="19" t="s">
        <v>10</v>
      </c>
      <c r="D85" s="19" t="s">
        <v>11</v>
      </c>
      <c r="E85" s="89"/>
      <c r="F85" s="89"/>
      <c r="G85" s="90"/>
      <c r="H85" s="90"/>
      <c r="J85" s="19" t="s">
        <v>97</v>
      </c>
    </row>
    <row r="86" spans="1:129" ht="159.5" x14ac:dyDescent="0.35">
      <c r="A86" s="19" t="str">
        <f>HYPERLINK("https://www.grants.gov/view-opportunity.html?oppId=329293","21-503")</f>
        <v>21-503</v>
      </c>
      <c r="B86" s="19" t="s">
        <v>98</v>
      </c>
      <c r="C86" s="19" t="s">
        <v>10</v>
      </c>
      <c r="D86" s="19" t="s">
        <v>11</v>
      </c>
      <c r="E86" s="89"/>
      <c r="F86" s="89"/>
      <c r="G86" s="90"/>
      <c r="H86" s="90">
        <v>3</v>
      </c>
      <c r="J86" s="19" t="s">
        <v>99</v>
      </c>
    </row>
    <row r="87" spans="1:129" ht="290" x14ac:dyDescent="0.35">
      <c r="A87" s="19" t="str">
        <f>HYPERLINK("https://www.grants.gov/view-opportunity.html?oppId=330461","21-547")</f>
        <v>21-547</v>
      </c>
      <c r="B87" s="19" t="s">
        <v>100</v>
      </c>
      <c r="C87" s="19" t="s">
        <v>10</v>
      </c>
      <c r="D87" s="19" t="s">
        <v>11</v>
      </c>
      <c r="E87" s="89"/>
      <c r="F87" s="90"/>
      <c r="G87" s="90"/>
      <c r="H87" s="90">
        <v>40</v>
      </c>
      <c r="J87" s="19" t="s">
        <v>101</v>
      </c>
    </row>
    <row r="88" spans="1:129" ht="174" x14ac:dyDescent="0.35">
      <c r="A88" s="12" t="str">
        <f>HYPERLINK("https://www.grants.gov/view-opportunity.html?oppId=344183","PD-23-1524")</f>
        <v>PD-23-1524</v>
      </c>
      <c r="B88" s="13" t="s">
        <v>146</v>
      </c>
      <c r="C88" s="12" t="s">
        <v>10</v>
      </c>
      <c r="D88" s="13" t="s">
        <v>11</v>
      </c>
      <c r="E88" s="34"/>
      <c r="F88" s="12" t="s">
        <v>17</v>
      </c>
      <c r="G88" s="12" t="s">
        <v>17</v>
      </c>
      <c r="I88" s="13" t="s">
        <v>127</v>
      </c>
      <c r="J88" s="13" t="s">
        <v>147</v>
      </c>
    </row>
    <row r="89" spans="1:129" ht="58" x14ac:dyDescent="0.35">
      <c r="A89" s="12" t="str">
        <f>HYPERLINK("https://www.grants.gov/view-opportunity.html?oppId=344095","23-508")</f>
        <v>23-508</v>
      </c>
      <c r="B89" s="13" t="s">
        <v>148</v>
      </c>
      <c r="C89" s="12" t="s">
        <v>10</v>
      </c>
      <c r="D89" s="13" t="s">
        <v>11</v>
      </c>
      <c r="E89" s="34"/>
      <c r="F89" s="12" t="s">
        <v>17</v>
      </c>
      <c r="G89" s="12" t="s">
        <v>17</v>
      </c>
      <c r="I89" s="13" t="s">
        <v>127</v>
      </c>
      <c r="J89" s="13" t="s">
        <v>149</v>
      </c>
    </row>
    <row r="90" spans="1:129" ht="43.5" x14ac:dyDescent="0.35">
      <c r="A90" s="12" t="str">
        <f>HYPERLINK("https://www.grants.gov/view-opportunity.html?oppId=344858","PD-23-1650")</f>
        <v>PD-23-1650</v>
      </c>
      <c r="B90" s="13" t="s">
        <v>162</v>
      </c>
      <c r="C90" s="12" t="s">
        <v>10</v>
      </c>
      <c r="D90" s="13" t="s">
        <v>11</v>
      </c>
      <c r="E90" s="34"/>
      <c r="F90" s="12" t="s">
        <v>17</v>
      </c>
      <c r="G90" s="12" t="s">
        <v>17</v>
      </c>
      <c r="I90" s="13" t="s">
        <v>127</v>
      </c>
      <c r="J90" s="13" t="s">
        <v>163</v>
      </c>
    </row>
    <row r="91" spans="1:129" ht="43.5" x14ac:dyDescent="0.35">
      <c r="A91" s="12" t="str">
        <f>HYPERLINK("https://www.grants.gov/view-opportunity.html?oppId=347323","PD-23-1179")</f>
        <v>PD-23-1179</v>
      </c>
      <c r="B91" s="13" t="s">
        <v>175</v>
      </c>
      <c r="C91" s="13" t="s">
        <v>10</v>
      </c>
      <c r="D91" s="13" t="s">
        <v>11</v>
      </c>
      <c r="E91" s="34"/>
      <c r="F91" s="12" t="s">
        <v>17</v>
      </c>
      <c r="G91" s="12" t="s">
        <v>17</v>
      </c>
      <c r="H91" s="12">
        <v>100</v>
      </c>
      <c r="I91" s="13" t="s">
        <v>127</v>
      </c>
      <c r="J91" s="13" t="s">
        <v>170</v>
      </c>
    </row>
    <row r="92" spans="1:129" ht="409.5" x14ac:dyDescent="0.35">
      <c r="A92" s="12" t="str">
        <f>HYPERLINK("https://www.grants.gov/view-opportunity.html?oppId=347324","PD-23-1406")</f>
        <v>PD-23-1406</v>
      </c>
      <c r="B92" s="13" t="s">
        <v>176</v>
      </c>
      <c r="C92" s="13" t="s">
        <v>10</v>
      </c>
      <c r="D92" s="13" t="s">
        <v>11</v>
      </c>
      <c r="E92" s="34"/>
      <c r="F92" s="12" t="s">
        <v>17</v>
      </c>
      <c r="G92" s="12" t="s">
        <v>17</v>
      </c>
      <c r="I92" s="13" t="s">
        <v>127</v>
      </c>
      <c r="J92" s="13" t="s">
        <v>177</v>
      </c>
    </row>
    <row r="93" spans="1:129" ht="406" x14ac:dyDescent="0.35">
      <c r="A93" s="12" t="str">
        <f>HYPERLINK("https://www.grants.gov/view-opportunity.html?oppId=347325","PD-23-1415")</f>
        <v>PD-23-1415</v>
      </c>
      <c r="B93" s="13" t="s">
        <v>178</v>
      </c>
      <c r="C93" s="13" t="s">
        <v>10</v>
      </c>
      <c r="D93" s="13" t="s">
        <v>11</v>
      </c>
      <c r="E93" s="34"/>
      <c r="F93" s="12" t="s">
        <v>17</v>
      </c>
      <c r="G93" s="12" t="s">
        <v>17</v>
      </c>
      <c r="I93" s="13" t="s">
        <v>127</v>
      </c>
      <c r="J93" s="13" t="s">
        <v>179</v>
      </c>
    </row>
    <row r="94" spans="1:129" ht="348" x14ac:dyDescent="0.35">
      <c r="A94" s="12" t="str">
        <f>HYPERLINK("https://www.grants.gov/view-opportunity.html?oppId=347326","PD-23-1417")</f>
        <v>PD-23-1417</v>
      </c>
      <c r="B94" s="13" t="s">
        <v>180</v>
      </c>
      <c r="C94" s="13" t="s">
        <v>10</v>
      </c>
      <c r="D94" s="13" t="s">
        <v>11</v>
      </c>
      <c r="E94" s="34"/>
      <c r="F94" s="12" t="s">
        <v>17</v>
      </c>
      <c r="G94" s="12" t="s">
        <v>17</v>
      </c>
      <c r="H94" s="12">
        <v>113</v>
      </c>
      <c r="I94" s="13" t="s">
        <v>127</v>
      </c>
      <c r="J94" s="13" t="s">
        <v>181</v>
      </c>
    </row>
    <row r="95" spans="1:129" ht="290" x14ac:dyDescent="0.35">
      <c r="A95" s="12" t="str">
        <f>HYPERLINK("https://www.grants.gov/view-opportunity.html?oppId=347328","PD-23-7643")</f>
        <v>PD-23-7643</v>
      </c>
      <c r="B95" s="13" t="s">
        <v>182</v>
      </c>
      <c r="C95" s="13" t="s">
        <v>10</v>
      </c>
      <c r="D95" s="13" t="s">
        <v>11</v>
      </c>
      <c r="E95" s="34"/>
      <c r="F95" s="12" t="s">
        <v>17</v>
      </c>
      <c r="G95" s="12" t="s">
        <v>17</v>
      </c>
      <c r="H95" s="12">
        <v>103</v>
      </c>
      <c r="I95" s="13" t="s">
        <v>127</v>
      </c>
      <c r="J95" s="13" t="s">
        <v>183</v>
      </c>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row>
    <row r="96" spans="1:129" ht="333.5" x14ac:dyDescent="0.35">
      <c r="A96" s="12" t="str">
        <f>HYPERLINK("https://www.grants.gov/view-opportunity.html?oppId=347327","PD-23-7236")</f>
        <v>PD-23-7236</v>
      </c>
      <c r="B96" s="13" t="s">
        <v>184</v>
      </c>
      <c r="C96" s="13" t="s">
        <v>10</v>
      </c>
      <c r="D96" s="13" t="s">
        <v>11</v>
      </c>
      <c r="E96" s="34"/>
      <c r="F96" s="12" t="s">
        <v>17</v>
      </c>
      <c r="G96" s="12" t="s">
        <v>17</v>
      </c>
      <c r="I96" s="13" t="s">
        <v>127</v>
      </c>
      <c r="J96" s="13" t="s">
        <v>185</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row>
    <row r="97" spans="1:129" s="13" customFormat="1" ht="409.5" x14ac:dyDescent="0.35">
      <c r="A97" s="12" t="str">
        <f>HYPERLINK("https://www.grants.gov/view-opportunity.html?oppId=347329","PD-23-7644")</f>
        <v>PD-23-7644</v>
      </c>
      <c r="B97" s="13" t="s">
        <v>186</v>
      </c>
      <c r="C97" s="13" t="s">
        <v>10</v>
      </c>
      <c r="D97" s="13" t="s">
        <v>11</v>
      </c>
      <c r="E97" s="34"/>
      <c r="F97" s="12" t="s">
        <v>17</v>
      </c>
      <c r="G97" s="12" t="s">
        <v>17</v>
      </c>
      <c r="H97" s="12"/>
      <c r="I97" s="13" t="s">
        <v>127</v>
      </c>
      <c r="J97" s="13" t="s">
        <v>187</v>
      </c>
    </row>
    <row r="98" spans="1:129" s="13" customFormat="1" ht="409.5" x14ac:dyDescent="0.35">
      <c r="A98" s="12" t="str">
        <f>HYPERLINK("https://www.grants.gov/view-opportunity.html?oppId=347020","PD-23-1443")</f>
        <v>PD-23-1443</v>
      </c>
      <c r="B98" s="13" t="s">
        <v>188</v>
      </c>
      <c r="C98" s="13" t="s">
        <v>10</v>
      </c>
      <c r="D98" s="13" t="s">
        <v>11</v>
      </c>
      <c r="E98" s="34"/>
      <c r="F98" s="12" t="s">
        <v>17</v>
      </c>
      <c r="G98" s="12" t="s">
        <v>17</v>
      </c>
      <c r="H98" s="12"/>
      <c r="I98" s="13" t="s">
        <v>127</v>
      </c>
      <c r="J98" s="13" t="s">
        <v>189</v>
      </c>
    </row>
    <row r="99" spans="1:129" s="13" customFormat="1" ht="101.5" x14ac:dyDescent="0.35">
      <c r="A99" s="12" t="str">
        <f>HYPERLINK("https://www.grants.gov/view-opportunity.html?oppId=347509","PD-23-1407")</f>
        <v>PD-23-1407</v>
      </c>
      <c r="B99" s="13" t="s">
        <v>203</v>
      </c>
      <c r="C99" s="12" t="s">
        <v>10</v>
      </c>
      <c r="D99" s="13" t="s">
        <v>11</v>
      </c>
      <c r="E99" s="34"/>
      <c r="F99" s="12" t="s">
        <v>17</v>
      </c>
      <c r="G99" s="12" t="s">
        <v>17</v>
      </c>
      <c r="H99" s="12"/>
      <c r="I99" s="13" t="s">
        <v>127</v>
      </c>
      <c r="J99" s="13" t="s">
        <v>204</v>
      </c>
    </row>
    <row r="100" spans="1:129" s="13" customFormat="1" ht="304.5" x14ac:dyDescent="0.35">
      <c r="A100" s="12" t="str">
        <f>HYPERLINK("https://www.grants.gov/view-opportunity.html?oppId=348258","PD-18-7607")</f>
        <v>PD-18-7607</v>
      </c>
      <c r="B100" s="13" t="s">
        <v>215</v>
      </c>
      <c r="C100" s="12" t="s">
        <v>10</v>
      </c>
      <c r="D100" s="13" t="s">
        <v>11</v>
      </c>
      <c r="E100" s="34"/>
      <c r="F100" s="12" t="s">
        <v>17</v>
      </c>
      <c r="G100" s="12" t="s">
        <v>17</v>
      </c>
      <c r="H100" s="12"/>
      <c r="I100" s="13" t="s">
        <v>127</v>
      </c>
      <c r="J100" s="13" t="s">
        <v>216</v>
      </c>
    </row>
    <row r="101" spans="1:129" s="13" customFormat="1" ht="58" x14ac:dyDescent="0.35">
      <c r="A101" s="12" t="str">
        <f>HYPERLINK("https://www.grants.gov/view-opportunity.html?oppId=349109","23-602")</f>
        <v>23-602</v>
      </c>
      <c r="B101" s="13" t="s">
        <v>236</v>
      </c>
      <c r="C101" s="12" t="s">
        <v>10</v>
      </c>
      <c r="D101" s="13" t="s">
        <v>11</v>
      </c>
      <c r="E101" s="34"/>
      <c r="F101" s="12" t="s">
        <v>17</v>
      </c>
      <c r="G101" s="12" t="s">
        <v>17</v>
      </c>
      <c r="H101" s="12">
        <v>15</v>
      </c>
      <c r="I101" s="13" t="s">
        <v>127</v>
      </c>
      <c r="J101" s="13" t="s">
        <v>237</v>
      </c>
    </row>
    <row r="102" spans="1:129" s="13" customFormat="1" ht="409.5" x14ac:dyDescent="0.35">
      <c r="A102" s="12" t="str">
        <f>HYPERLINK("https://www.grants.gov/view-opportunity.html?oppId=348932","PD-23-1401")</f>
        <v>PD-23-1401</v>
      </c>
      <c r="B102" s="13" t="s">
        <v>238</v>
      </c>
      <c r="C102" s="12" t="s">
        <v>10</v>
      </c>
      <c r="D102" s="13" t="s">
        <v>11</v>
      </c>
      <c r="E102" s="34"/>
      <c r="F102" s="12" t="s">
        <v>17</v>
      </c>
      <c r="G102" s="12" t="s">
        <v>17</v>
      </c>
      <c r="H102" s="12"/>
      <c r="I102" s="13" t="s">
        <v>127</v>
      </c>
      <c r="J102" s="13" t="s">
        <v>239</v>
      </c>
    </row>
    <row r="103" spans="1:129" s="13" customFormat="1" ht="409.5" x14ac:dyDescent="0.35">
      <c r="A103" s="12" t="str">
        <f>HYPERLINK("https://www.grants.gov/view-opportunity.html?oppId=348793","PD-23-1403")</f>
        <v>PD-23-1403</v>
      </c>
      <c r="B103" s="13" t="s">
        <v>240</v>
      </c>
      <c r="C103" s="12" t="s">
        <v>10</v>
      </c>
      <c r="D103" s="13" t="s">
        <v>11</v>
      </c>
      <c r="E103" s="34"/>
      <c r="F103" s="12" t="s">
        <v>17</v>
      </c>
      <c r="G103" s="12" t="s">
        <v>17</v>
      </c>
      <c r="H103" s="12"/>
      <c r="I103" s="13" t="s">
        <v>127</v>
      </c>
      <c r="J103" s="13" t="s">
        <v>241</v>
      </c>
    </row>
    <row r="104" spans="1:129" s="13" customFormat="1" ht="409.5" x14ac:dyDescent="0.35">
      <c r="A104" s="12" t="str">
        <f>HYPERLINK("https://www.grants.gov/view-opportunity.html?oppId=348794","PD-23-1491")</f>
        <v>PD-23-1491</v>
      </c>
      <c r="B104" s="13" t="s">
        <v>242</v>
      </c>
      <c r="C104" s="12" t="s">
        <v>10</v>
      </c>
      <c r="D104" s="13" t="s">
        <v>11</v>
      </c>
      <c r="E104" s="34"/>
      <c r="F104" s="12" t="s">
        <v>17</v>
      </c>
      <c r="G104" s="12" t="s">
        <v>17</v>
      </c>
      <c r="H104" s="12"/>
      <c r="I104" s="13" t="s">
        <v>127</v>
      </c>
      <c r="J104" s="13" t="s">
        <v>243</v>
      </c>
    </row>
    <row r="105" spans="1:129" s="13" customFormat="1" ht="406" x14ac:dyDescent="0.35">
      <c r="A105" s="12" t="str">
        <f>HYPERLINK("https://www.grants.gov/view-opportunity.html?oppId=348796","PD-23-5345")</f>
        <v>PD-23-5345</v>
      </c>
      <c r="B105" s="13" t="s">
        <v>244</v>
      </c>
      <c r="C105" s="12" t="s">
        <v>10</v>
      </c>
      <c r="D105" s="13" t="s">
        <v>11</v>
      </c>
      <c r="E105" s="34"/>
      <c r="F105" s="12" t="s">
        <v>17</v>
      </c>
      <c r="G105" s="12" t="s">
        <v>17</v>
      </c>
      <c r="H105" s="12"/>
      <c r="I105" s="13" t="s">
        <v>127</v>
      </c>
      <c r="J105" s="13" t="s">
        <v>245</v>
      </c>
    </row>
    <row r="106" spans="1:129" s="13" customFormat="1" ht="409.5" x14ac:dyDescent="0.35">
      <c r="A106" s="13" t="str">
        <f>HYPERLINK("https://www.grants.gov/view-opportunity.html?oppId=349654","23-611")</f>
        <v>23-611</v>
      </c>
      <c r="B106" s="13" t="s">
        <v>96</v>
      </c>
      <c r="C106" s="13" t="s">
        <v>10</v>
      </c>
      <c r="D106" s="13" t="s">
        <v>11</v>
      </c>
      <c r="E106" s="31"/>
      <c r="F106" s="13" t="s">
        <v>17</v>
      </c>
      <c r="G106" s="13" t="s">
        <v>17</v>
      </c>
      <c r="I106" s="13" t="s">
        <v>251</v>
      </c>
      <c r="J106" s="13" t="s">
        <v>252</v>
      </c>
    </row>
    <row r="107" spans="1:129" s="13" customFormat="1" ht="409.5" x14ac:dyDescent="0.35">
      <c r="A107" s="13" t="str">
        <f>HYPERLINK("https://www.grants.gov/view-opportunity.html?oppId=349655","23-612")</f>
        <v>23-612</v>
      </c>
      <c r="B107" s="13" t="s">
        <v>253</v>
      </c>
      <c r="C107" s="13" t="s">
        <v>10</v>
      </c>
      <c r="D107" s="13" t="s">
        <v>11</v>
      </c>
      <c r="E107" s="31"/>
      <c r="F107" s="13" t="s">
        <v>17</v>
      </c>
      <c r="G107" s="13" t="s">
        <v>17</v>
      </c>
      <c r="I107" s="13" t="s">
        <v>251</v>
      </c>
      <c r="J107" s="13" t="s">
        <v>254</v>
      </c>
    </row>
    <row r="108" spans="1:129" s="13" customFormat="1" ht="409.5" x14ac:dyDescent="0.35">
      <c r="A108" s="13" t="str">
        <f>HYPERLINK("https://www.grants.gov/view-opportunity.html?oppId=349342","PD-23-8084")</f>
        <v>PD-23-8084</v>
      </c>
      <c r="B108" s="13" t="s">
        <v>255</v>
      </c>
      <c r="C108" s="13" t="s">
        <v>10</v>
      </c>
      <c r="D108" s="13" t="s">
        <v>11</v>
      </c>
      <c r="E108" s="31"/>
      <c r="F108" s="13" t="s">
        <v>17</v>
      </c>
      <c r="G108" s="13" t="s">
        <v>17</v>
      </c>
      <c r="I108" s="13" t="s">
        <v>127</v>
      </c>
      <c r="J108" s="13" t="s">
        <v>256</v>
      </c>
    </row>
    <row r="109" spans="1:129" s="13" customFormat="1" ht="58" x14ac:dyDescent="0.35">
      <c r="A109" s="5" t="str">
        <f>HYPERLINK("https://grants.gov/search-results-detail/353350","RFI-2024-004")</f>
        <v>RFI-2024-004</v>
      </c>
      <c r="B109" s="5" t="s">
        <v>654</v>
      </c>
      <c r="C109" s="5" t="s">
        <v>655</v>
      </c>
      <c r="D109" s="5" t="s">
        <v>656</v>
      </c>
      <c r="E109" s="66">
        <v>45417</v>
      </c>
      <c r="F109" s="43">
        <v>0</v>
      </c>
      <c r="G109" s="43">
        <v>0</v>
      </c>
      <c r="H109" s="5"/>
      <c r="I109" s="5" t="s">
        <v>385</v>
      </c>
      <c r="J109" s="5" t="s">
        <v>657</v>
      </c>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row>
    <row r="110" spans="1:129" s="13" customFormat="1" x14ac:dyDescent="0.35">
      <c r="A110" s="14"/>
      <c r="B110" s="14"/>
      <c r="C110" s="14"/>
      <c r="D110" s="14"/>
      <c r="E110" s="14"/>
      <c r="F110" s="14"/>
      <c r="G110" s="14"/>
      <c r="H110" s="42"/>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row>
    <row r="111" spans="1:129" s="14" customFormat="1" x14ac:dyDescent="0.35">
      <c r="E111" s="32"/>
    </row>
    <row r="112" spans="1:129" s="14" customFormat="1" x14ac:dyDescent="0.35">
      <c r="E112" s="32"/>
    </row>
    <row r="113" spans="2:7" s="14" customFormat="1" x14ac:dyDescent="0.35">
      <c r="E113" s="32"/>
    </row>
    <row r="114" spans="2:7" s="14" customFormat="1" x14ac:dyDescent="0.35">
      <c r="E114" s="32"/>
    </row>
    <row r="115" spans="2:7" s="14" customFormat="1" x14ac:dyDescent="0.35">
      <c r="E115" s="32"/>
    </row>
    <row r="116" spans="2:7" s="14" customFormat="1" x14ac:dyDescent="0.35">
      <c r="E116" s="32"/>
    </row>
    <row r="117" spans="2:7" s="14" customFormat="1" x14ac:dyDescent="0.35">
      <c r="E117" s="32"/>
    </row>
    <row r="118" spans="2:7" s="14" customFormat="1" x14ac:dyDescent="0.35">
      <c r="E118" s="32"/>
    </row>
    <row r="119" spans="2:7" s="14" customFormat="1" x14ac:dyDescent="0.35">
      <c r="E119" s="32"/>
    </row>
    <row r="120" spans="2:7" s="14" customFormat="1" x14ac:dyDescent="0.35">
      <c r="E120" s="32"/>
    </row>
    <row r="121" spans="2:7" s="14" customFormat="1" x14ac:dyDescent="0.35">
      <c r="E121" s="32"/>
    </row>
    <row r="122" spans="2:7" s="14" customFormat="1" x14ac:dyDescent="0.35">
      <c r="E122" s="32"/>
    </row>
    <row r="123" spans="2:7" s="14" customFormat="1" x14ac:dyDescent="0.35">
      <c r="E123" s="32"/>
    </row>
    <row r="124" spans="2:7" s="14" customFormat="1" x14ac:dyDescent="0.35">
      <c r="E124" s="32"/>
    </row>
    <row r="125" spans="2:7" s="14" customFormat="1" x14ac:dyDescent="0.35">
      <c r="E125" s="32"/>
    </row>
    <row r="128" spans="2:7" x14ac:dyDescent="0.35">
      <c r="B128" s="13"/>
      <c r="C128" s="12"/>
      <c r="D128" s="13"/>
      <c r="E128" s="34"/>
      <c r="F128" s="12"/>
      <c r="G128" s="12"/>
    </row>
  </sheetData>
  <sortState xmlns:xlrd2="http://schemas.microsoft.com/office/spreadsheetml/2017/richdata2" ref="A4:DY109">
    <sortCondition ref="C4:C109"/>
    <sortCondition ref="E4:E109"/>
  </sortState>
  <conditionalFormatting sqref="A1">
    <cfRule type="duplicateValues" dxfId="2" priority="3"/>
  </conditionalFormatting>
  <conditionalFormatting sqref="A2:A21">
    <cfRule type="duplicateValues" dxfId="1" priority="2"/>
  </conditionalFormatting>
  <conditionalFormatting sqref="A40:A1048576">
    <cfRule type="duplicateValues" dxfId="0" priority="198"/>
  </conditionalFormatting>
  <hyperlinks>
    <hyperlink ref="A47" r:id="rId1" xr:uid="{00000000-0004-0000-0300-000010000000}"/>
  </hyperlinks>
  <pageMargins left="0.7" right="0.7" top="0.75" bottom="0.75" header="0.511811023622047" footer="0.511811023622047"/>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CD8B2F78FAB4BA4EAD775BF8EB614" ma:contentTypeVersion="15" ma:contentTypeDescription="Create a new document." ma:contentTypeScope="" ma:versionID="c3c6a055db8f2a6314ef85c0be20e02e">
  <xsd:schema xmlns:xsd="http://www.w3.org/2001/XMLSchema" xmlns:xs="http://www.w3.org/2001/XMLSchema" xmlns:p="http://schemas.microsoft.com/office/2006/metadata/properties" xmlns:ns3="2a1085e6-e0d9-4c3a-bed4-ef9125166dec" xmlns:ns4="f195fd63-d204-489f-8f88-99fac33ca1a2" targetNamespace="http://schemas.microsoft.com/office/2006/metadata/properties" ma:root="true" ma:fieldsID="2074aa8a94b60b052994d4a4e1a02d30" ns3:_="" ns4:_="">
    <xsd:import namespace="2a1085e6-e0d9-4c3a-bed4-ef9125166dec"/>
    <xsd:import namespace="f195fd63-d204-489f-8f88-99fac33ca1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085e6-e0d9-4c3a-bed4-ef9125166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95fd63-d204-489f-8f88-99fac33ca1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a1085e6-e0d9-4c3a-bed4-ef9125166dec" xsi:nil="true"/>
  </documentManagement>
</p:properties>
</file>

<file path=customXml/itemProps1.xml><?xml version="1.0" encoding="utf-8"?>
<ds:datastoreItem xmlns:ds="http://schemas.openxmlformats.org/officeDocument/2006/customXml" ds:itemID="{47C6274E-28B0-445D-A148-066DEDD7F95B}">
  <ds:schemaRefs>
    <ds:schemaRef ds:uri="http://schemas.microsoft.com/sharepoint/v3/contenttype/forms"/>
  </ds:schemaRefs>
</ds:datastoreItem>
</file>

<file path=customXml/itemProps2.xml><?xml version="1.0" encoding="utf-8"?>
<ds:datastoreItem xmlns:ds="http://schemas.openxmlformats.org/officeDocument/2006/customXml" ds:itemID="{73ACE484-1F93-476B-A5F9-7AD95A939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085e6-e0d9-4c3a-bed4-ef9125166dec"/>
    <ds:schemaRef ds:uri="f195fd63-d204-489f-8f88-99fac33ca1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4C05D2-2584-46A1-ADEA-8D158090571C}">
  <ds:schemaRefs>
    <ds:schemaRef ds:uri="http://purl.org/dc/elements/1.1/"/>
    <ds:schemaRef ds:uri="http://purl.org/dc/dcmitype/"/>
    <ds:schemaRef ds:uri="2a1085e6-e0d9-4c3a-bed4-ef9125166dec"/>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f195fd63-d204-489f-8f88-99fac33ca1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&lt;$50K</vt:lpstr>
      <vt:lpstr>$50K-250K</vt:lpstr>
      <vt:lpstr>$250K-500K</vt:lpstr>
      <vt:lpstr>$500K+</vt:lpstr>
      <vt:lpstr>No Ceiling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 Kevin (S&amp;T-Student)</dc:creator>
  <cp:keywords/>
  <dc:description/>
  <cp:lastModifiedBy>He, Xiaoming</cp:lastModifiedBy>
  <cp:revision>8</cp:revision>
  <dcterms:created xsi:type="dcterms:W3CDTF">2022-02-12T13:12:50Z</dcterms:created>
  <dcterms:modified xsi:type="dcterms:W3CDTF">2024-04-11T00:12:01Z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0x0101006EDCD8B2F78FAB4BA4EAD775BF8EB614</vt:lpwstr>
  </property>
</Properties>
</file>